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updateLinks="never" codeName="Questa_cartella_di_lavoro" defaultThemeVersion="124226"/>
  <xr:revisionPtr revIDLastSave="1656" documentId="14_{A7A0AC23-F1F4-4A16-9695-BF0392A3F48F}" xr6:coauthVersionLast="47" xr6:coauthVersionMax="47" xr10:uidLastSave="{4B7E519E-F2DC-4ADC-8DF1-6751138E5A5C}"/>
  <bookViews>
    <workbookView xWindow="-120" yWindow="-120" windowWidth="25440" windowHeight="15270" tabRatio="848" activeTab="5" xr2:uid="{00000000-000D-0000-FFFF-FFFF00000000}"/>
  </bookViews>
  <sheets>
    <sheet name="Menu" sheetId="95" r:id="rId1"/>
    <sheet name="QT-Acquedotto" sheetId="105" r:id="rId2"/>
    <sheet name="QT-Fognatura" sheetId="106" r:id="rId3"/>
    <sheet name="QT-Depurazione" sheetId="108" r:id="rId4"/>
    <sheet name="QT-Altri dati" sheetId="109" r:id="rId5"/>
    <sheet name="QT-Resilienza" sheetId="113" r:id="rId6"/>
    <sheet name="Riepilogo RQTI" sheetId="111" r:id="rId7"/>
    <sheet name="TT_Gestori-ATO" sheetId="101" state="hidden" r:id="rId8"/>
  </sheets>
  <definedNames>
    <definedName name="_xlnm._FilterDatabase" localSheetId="7" hidden="1">'TT_Gestori-ATO'!$F$2:$G$2</definedName>
    <definedName name="Z_1E1889AA_9C00_49BF_A07E_295053EABBEF_.wvu.Rows" localSheetId="0" hidden="1">Menu!#REF!</definedName>
    <definedName name="Z_55E02C46_28B2_434E_B40C_06F6710E314E_.wvu.Cols" localSheetId="3" hidden="1">'QT-Depurazione'!#REF!</definedName>
    <definedName name="Z_55E02C46_28B2_434E_B40C_06F6710E314E_.wvu.Cols" localSheetId="2" hidden="1">'QT-Fognatura'!#REF!</definedName>
    <definedName name="Z_55E02C46_28B2_434E_B40C_06F6710E314E_.wvu.PrintArea" localSheetId="1" hidden="1">'QT-Acquedotto'!$A$2:$J$150</definedName>
    <definedName name="Z_55E02C46_28B2_434E_B40C_06F6710E314E_.wvu.PrintArea" localSheetId="4" hidden="1">'QT-Altri dati'!$A$2:$J$38</definedName>
    <definedName name="Z_55E02C46_28B2_434E_B40C_06F6710E314E_.wvu.PrintArea" localSheetId="3" hidden="1">'QT-Depurazione'!$A$2:$J$56</definedName>
    <definedName name="Z_55E02C46_28B2_434E_B40C_06F6710E314E_.wvu.PrintArea" localSheetId="2" hidden="1">'QT-Fognatura'!$A$2:$J$48</definedName>
    <definedName name="Z_55E02C46_28B2_434E_B40C_06F6710E314E_.wvu.PrintArea" localSheetId="5" hidden="1">'QT-Resilienza'!$A$2:$J$7</definedName>
    <definedName name="Z_55E02C46_28B2_434E_B40C_06F6710E314E_.wvu.PrintTitles" localSheetId="1" hidden="1">'QT-Acquedotto'!$2:$2</definedName>
    <definedName name="Z_55E02C46_28B2_434E_B40C_06F6710E314E_.wvu.PrintTitles" localSheetId="4" hidden="1">'QT-Altri dati'!$2:$2</definedName>
    <definedName name="Z_55E02C46_28B2_434E_B40C_06F6710E314E_.wvu.PrintTitles" localSheetId="3" hidden="1">'QT-Depurazione'!$2:$2</definedName>
    <definedName name="Z_55E02C46_28B2_434E_B40C_06F6710E314E_.wvu.PrintTitles" localSheetId="2" hidden="1">'QT-Fognatura'!$2:$2</definedName>
    <definedName name="Z_55E02C46_28B2_434E_B40C_06F6710E314E_.wvu.PrintTitles" localSheetId="5" hidden="1">'QT-Resilienza'!$2:$2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6" i="113" l="1"/>
  <c r="G85" i="111"/>
  <c r="E24" i="113"/>
  <c r="I67" i="109" l="1"/>
  <c r="I110" i="108"/>
  <c r="E144" i="108"/>
  <c r="I144" i="108" s="1"/>
  <c r="L144" i="108" s="1"/>
  <c r="I143" i="108"/>
  <c r="L143" i="108" s="1"/>
  <c r="I142" i="108"/>
  <c r="L142" i="108" s="1"/>
  <c r="E128" i="108"/>
  <c r="I139" i="108"/>
  <c r="L139" i="108" s="1"/>
  <c r="L72" i="113"/>
  <c r="L73" i="113"/>
  <c r="L74" i="113"/>
  <c r="L75" i="113"/>
  <c r="L76" i="113"/>
  <c r="L77" i="113"/>
  <c r="L78" i="113"/>
  <c r="L79" i="113"/>
  <c r="L80" i="113"/>
  <c r="L81" i="113"/>
  <c r="L82" i="113"/>
  <c r="L83" i="113"/>
  <c r="L84" i="113"/>
  <c r="L85" i="113"/>
  <c r="L86" i="113"/>
  <c r="L87" i="113"/>
  <c r="L88" i="113"/>
  <c r="I105" i="109"/>
  <c r="E132" i="109"/>
  <c r="E147" i="109"/>
  <c r="I141" i="108"/>
  <c r="L141" i="108" s="1"/>
  <c r="L131" i="108"/>
  <c r="L127" i="108"/>
  <c r="I125" i="108"/>
  <c r="E119" i="108"/>
  <c r="L119" i="108"/>
  <c r="E120" i="108"/>
  <c r="L120" i="108" s="1"/>
  <c r="I109" i="108"/>
  <c r="L109" i="108" s="1"/>
  <c r="I29" i="113"/>
  <c r="I112" i="108" l="1"/>
  <c r="E131" i="108"/>
  <c r="E127" i="108"/>
  <c r="E122" i="108"/>
  <c r="G10" i="111" l="1"/>
  <c r="G64" i="111"/>
  <c r="G65" i="111" s="1"/>
  <c r="L128" i="108"/>
  <c r="I89" i="108"/>
  <c r="G71" i="111"/>
  <c r="G63" i="111"/>
  <c r="G54" i="111"/>
  <c r="G53" i="111"/>
  <c r="G45" i="111"/>
  <c r="G42" i="111"/>
  <c r="G41" i="111"/>
  <c r="G33" i="111"/>
  <c r="G32" i="111"/>
  <c r="G31" i="111"/>
  <c r="G30" i="111"/>
  <c r="G29" i="111"/>
  <c r="G23" i="111"/>
  <c r="G22" i="111"/>
  <c r="G21" i="111"/>
  <c r="G15" i="111"/>
  <c r="G13" i="111"/>
  <c r="G3" i="111" l="1"/>
  <c r="L110" i="108" l="1"/>
  <c r="L88" i="108"/>
  <c r="G176" i="109"/>
  <c r="G177" i="109" s="1"/>
  <c r="G166" i="109"/>
  <c r="G167" i="109" s="1"/>
  <c r="L146" i="109"/>
  <c r="L126" i="109"/>
  <c r="L131" i="109"/>
  <c r="L109" i="109"/>
  <c r="E131" i="109" l="1"/>
  <c r="E146" i="109"/>
  <c r="L24" i="105"/>
  <c r="I24" i="105"/>
  <c r="E45" i="105"/>
  <c r="G14" i="111" s="1"/>
  <c r="G16" i="111" s="1"/>
  <c r="E33" i="113" l="1"/>
  <c r="E54" i="113" s="1"/>
  <c r="C71" i="111" l="1"/>
  <c r="C70" i="111"/>
  <c r="C77" i="111"/>
  <c r="C73" i="111"/>
  <c r="C74" i="111" s="1"/>
  <c r="C69" i="111"/>
  <c r="C65" i="111"/>
  <c r="C67" i="111" s="1"/>
  <c r="D64" i="111" s="1"/>
  <c r="D65" i="111" s="1"/>
  <c r="C61" i="111"/>
  <c r="C57" i="111"/>
  <c r="C51" i="111"/>
  <c r="C45" i="111"/>
  <c r="C39" i="111"/>
  <c r="C33" i="111"/>
  <c r="D34" i="111" s="1"/>
  <c r="D30" i="111"/>
  <c r="E30" i="111" s="1"/>
  <c r="C27" i="111"/>
  <c r="C23" i="111"/>
  <c r="C24" i="111" s="1"/>
  <c r="C20" i="111"/>
  <c r="C16" i="111"/>
  <c r="C18" i="111" s="1"/>
  <c r="D14" i="111" s="1"/>
  <c r="C7" i="111"/>
  <c r="C9" i="111" s="1"/>
  <c r="D6" i="111" s="1"/>
  <c r="C49" i="111" l="1"/>
  <c r="C48" i="111"/>
  <c r="D43" i="111" s="1"/>
  <c r="D44" i="111"/>
  <c r="D15" i="111"/>
  <c r="D16" i="111" s="1"/>
  <c r="D67" i="111"/>
  <c r="E64" i="111" s="1"/>
  <c r="E65" i="111" s="1"/>
  <c r="G68" i="111" s="1"/>
  <c r="D66" i="111"/>
  <c r="C75" i="111"/>
  <c r="E72" i="111" s="1"/>
  <c r="E73" i="111" s="1"/>
  <c r="G76" i="111" s="1"/>
  <c r="C17" i="111"/>
  <c r="C25" i="111"/>
  <c r="D22" i="111" s="1"/>
  <c r="D23" i="111" s="1"/>
  <c r="C36" i="111"/>
  <c r="D31" i="111" s="1"/>
  <c r="D33" i="111" s="1"/>
  <c r="C46" i="111"/>
  <c r="D57" i="111"/>
  <c r="C66" i="111"/>
  <c r="C8" i="111"/>
  <c r="C47" i="111"/>
  <c r="D42" i="111" s="1"/>
  <c r="C58" i="111"/>
  <c r="C34" i="111"/>
  <c r="D7" i="111"/>
  <c r="C59" i="111"/>
  <c r="D54" i="111" s="1"/>
  <c r="D45" i="111" l="1"/>
  <c r="D48" i="111" s="1"/>
  <c r="E43" i="111" s="1"/>
  <c r="D18" i="111"/>
  <c r="E14" i="111" s="1"/>
  <c r="E15" i="111"/>
  <c r="D17" i="111"/>
  <c r="D58" i="111"/>
  <c r="E57" i="111"/>
  <c r="G60" i="111" s="1"/>
  <c r="D59" i="111"/>
  <c r="E54" i="111" s="1"/>
  <c r="D24" i="111"/>
  <c r="D25" i="111"/>
  <c r="E22" i="111" s="1"/>
  <c r="E23" i="111" s="1"/>
  <c r="G26" i="111" s="1"/>
  <c r="D9" i="111"/>
  <c r="E6" i="111" s="1"/>
  <c r="D8" i="111"/>
  <c r="E7" i="111"/>
  <c r="D36" i="111"/>
  <c r="E31" i="111" s="1"/>
  <c r="E33" i="111" s="1"/>
  <c r="G38" i="111" s="1"/>
  <c r="E42" i="111" l="1"/>
  <c r="D46" i="111"/>
  <c r="D49" i="111"/>
  <c r="E44" i="111" s="1"/>
  <c r="D47" i="111"/>
  <c r="E16" i="111"/>
  <c r="G19" i="111" s="1"/>
  <c r="E45" i="111" l="1"/>
  <c r="G50" i="111" s="1"/>
  <c r="I68" i="105"/>
  <c r="I63" i="113" l="1"/>
  <c r="I60" i="113"/>
  <c r="I59" i="113"/>
  <c r="I58" i="113"/>
  <c r="I51" i="113"/>
  <c r="L29" i="113"/>
  <c r="L30" i="113"/>
  <c r="L31" i="113"/>
  <c r="E19" i="113"/>
  <c r="G84" i="111"/>
  <c r="G83" i="111"/>
  <c r="E14" i="113" l="1"/>
  <c r="E25" i="113"/>
  <c r="E85" i="113" s="1"/>
  <c r="I62" i="113"/>
  <c r="L63" i="113"/>
  <c r="I61" i="113"/>
  <c r="L61" i="113" s="1"/>
  <c r="L60" i="113"/>
  <c r="L58" i="113"/>
  <c r="L53" i="113"/>
  <c r="I41" i="113"/>
  <c r="L41" i="113" s="1"/>
  <c r="L51" i="113"/>
  <c r="I39" i="113"/>
  <c r="I50" i="113"/>
  <c r="L50" i="113" s="1"/>
  <c r="I37" i="113"/>
  <c r="I35" i="113"/>
  <c r="L35" i="113" s="1"/>
  <c r="I7" i="113"/>
  <c r="I22" i="113"/>
  <c r="I21" i="113"/>
  <c r="I19" i="113"/>
  <c r="I65" i="113"/>
  <c r="I64" i="113"/>
  <c r="E23" i="113"/>
  <c r="L33" i="113"/>
  <c r="L42" i="113"/>
  <c r="L43" i="113"/>
  <c r="L44" i="113"/>
  <c r="L45" i="113"/>
  <c r="L46" i="113"/>
  <c r="L47" i="113"/>
  <c r="L52" i="113"/>
  <c r="L54" i="113"/>
  <c r="L71" i="113"/>
  <c r="L69" i="113"/>
  <c r="L70" i="113"/>
  <c r="L90" i="113"/>
  <c r="E71" i="113" l="1"/>
  <c r="G6" i="111" s="1"/>
  <c r="E76" i="113"/>
  <c r="G4" i="111"/>
  <c r="L28" i="113"/>
  <c r="E48" i="113"/>
  <c r="L39" i="113"/>
  <c r="L37" i="113"/>
  <c r="I20" i="113"/>
  <c r="L20" i="113" s="1"/>
  <c r="I89" i="113"/>
  <c r="L89" i="113" s="1"/>
  <c r="I87" i="113"/>
  <c r="I86" i="113"/>
  <c r="L65" i="113"/>
  <c r="L64" i="113"/>
  <c r="L62" i="113"/>
  <c r="L59" i="113"/>
  <c r="I57" i="113"/>
  <c r="L57" i="113" s="1"/>
  <c r="I40" i="113"/>
  <c r="L40" i="113" s="1"/>
  <c r="I38" i="113"/>
  <c r="L38" i="113" s="1"/>
  <c r="I36" i="113"/>
  <c r="L36" i="113" s="1"/>
  <c r="L23" i="113"/>
  <c r="L22" i="113"/>
  <c r="L21" i="113"/>
  <c r="L19" i="113"/>
  <c r="I18" i="113"/>
  <c r="L18" i="113" s="1"/>
  <c r="I17" i="113"/>
  <c r="L17" i="113" s="1"/>
  <c r="I16" i="113"/>
  <c r="L16" i="113" s="1"/>
  <c r="I15" i="113"/>
  <c r="L15" i="113" s="1"/>
  <c r="L14" i="113"/>
  <c r="L11" i="113"/>
  <c r="L7" i="113"/>
  <c r="L6" i="113"/>
  <c r="L5" i="113"/>
  <c r="E5" i="113"/>
  <c r="L4" i="113"/>
  <c r="E4" i="113"/>
  <c r="L3" i="113"/>
  <c r="E3" i="113"/>
  <c r="E56" i="113" l="1"/>
  <c r="L56" i="113" s="1"/>
  <c r="I55" i="113"/>
  <c r="L55" i="113" s="1"/>
  <c r="I10" i="113"/>
  <c r="L10" i="113" s="1"/>
  <c r="I32" i="113"/>
  <c r="L32" i="113" s="1"/>
  <c r="I24" i="113"/>
  <c r="L24" i="113" s="1"/>
  <c r="I34" i="113"/>
  <c r="L34" i="113" s="1"/>
  <c r="I48" i="113"/>
  <c r="L48" i="113" s="1"/>
  <c r="I49" i="113"/>
  <c r="L49" i="113" s="1"/>
  <c r="E90" i="113"/>
  <c r="I25" i="113"/>
  <c r="L25" i="113" s="1"/>
  <c r="E52" i="113" l="1"/>
  <c r="E66" i="113" s="1"/>
  <c r="G5" i="111" s="1"/>
  <c r="G7" i="111" s="1"/>
  <c r="G81" i="111" s="1"/>
  <c r="J172" i="109"/>
  <c r="J173" i="109"/>
  <c r="J174" i="109"/>
  <c r="J175" i="109"/>
  <c r="J171" i="109"/>
  <c r="E135" i="109"/>
  <c r="J176" i="109" s="1"/>
  <c r="E166" i="109"/>
  <c r="F166" i="109"/>
  <c r="H166" i="109"/>
  <c r="I166" i="109"/>
  <c r="J162" i="109"/>
  <c r="J163" i="109"/>
  <c r="J164" i="109"/>
  <c r="J165" i="109"/>
  <c r="J161" i="109"/>
  <c r="E120" i="109"/>
  <c r="J166" i="109" s="1"/>
  <c r="E141" i="109" l="1"/>
  <c r="I142" i="109" s="1"/>
  <c r="E126" i="109"/>
  <c r="I127" i="109" s="1"/>
  <c r="E69" i="113"/>
  <c r="E70" i="113" s="1"/>
  <c r="I66" i="113"/>
  <c r="L66" i="113" s="1"/>
  <c r="L2" i="113" s="1"/>
  <c r="I80" i="109"/>
  <c r="I79" i="109"/>
  <c r="I78" i="109"/>
  <c r="I77" i="109"/>
  <c r="E68" i="109"/>
  <c r="I65" i="109"/>
  <c r="E62" i="109"/>
  <c r="I58" i="109"/>
  <c r="E53" i="109"/>
  <c r="E13" i="109"/>
  <c r="I7" i="109"/>
  <c r="I6" i="109"/>
  <c r="I5" i="109"/>
  <c r="I129" i="108"/>
  <c r="I106" i="108"/>
  <c r="E79" i="108" l="1"/>
  <c r="I119" i="105" l="1"/>
  <c r="G82" i="111" l="1"/>
  <c r="H112" i="108" l="1"/>
  <c r="L116" i="108"/>
  <c r="L117" i="108"/>
  <c r="L118" i="108"/>
  <c r="I107" i="108"/>
  <c r="L107" i="108" s="1"/>
  <c r="L87" i="108"/>
  <c r="L89" i="108"/>
  <c r="L86" i="108"/>
  <c r="L136" i="108" l="1"/>
  <c r="F4" i="95" l="1"/>
  <c r="L78" i="109" l="1"/>
  <c r="I31" i="108"/>
  <c r="K172" i="109"/>
  <c r="K173" i="109"/>
  <c r="K174" i="109"/>
  <c r="K175" i="109"/>
  <c r="K171" i="109"/>
  <c r="L174" i="109"/>
  <c r="L171" i="109"/>
  <c r="I167" i="109"/>
  <c r="H167" i="109"/>
  <c r="F167" i="109"/>
  <c r="E129" i="109"/>
  <c r="E124" i="109"/>
  <c r="E121" i="109"/>
  <c r="L105" i="109"/>
  <c r="L79" i="109"/>
  <c r="L143" i="109"/>
  <c r="L144" i="109"/>
  <c r="L145" i="109"/>
  <c r="L147" i="109"/>
  <c r="L151" i="109"/>
  <c r="L117" i="109"/>
  <c r="L103" i="109"/>
  <c r="L106" i="109"/>
  <c r="L107" i="109"/>
  <c r="L108" i="109"/>
  <c r="L110" i="109"/>
  <c r="L114" i="109"/>
  <c r="L42" i="109"/>
  <c r="L43" i="109"/>
  <c r="L130" i="109"/>
  <c r="L132" i="109"/>
  <c r="D176" i="109"/>
  <c r="E176" i="109"/>
  <c r="F176" i="109"/>
  <c r="H176" i="109"/>
  <c r="H177" i="109" s="1"/>
  <c r="I176" i="109"/>
  <c r="C176" i="109"/>
  <c r="C177" i="109" s="1"/>
  <c r="E139" i="109"/>
  <c r="E136" i="109"/>
  <c r="D166" i="109"/>
  <c r="C166" i="109"/>
  <c r="C167" i="109" s="1"/>
  <c r="E122" i="109"/>
  <c r="E123" i="109"/>
  <c r="E125" i="109"/>
  <c r="E133" i="109" l="1"/>
  <c r="E140" i="109"/>
  <c r="L172" i="109"/>
  <c r="L173" i="109"/>
  <c r="E138" i="109"/>
  <c r="L175" i="109"/>
  <c r="E137" i="109"/>
  <c r="E130" i="109"/>
  <c r="E148" i="109"/>
  <c r="I177" i="109"/>
  <c r="E145" i="109"/>
  <c r="F177" i="109"/>
  <c r="E144" i="109"/>
  <c r="E177" i="109"/>
  <c r="E143" i="109"/>
  <c r="D177" i="109"/>
  <c r="L177" i="109" s="1"/>
  <c r="L161" i="109"/>
  <c r="K161" i="109"/>
  <c r="L162" i="109"/>
  <c r="K162" i="109"/>
  <c r="L163" i="109"/>
  <c r="K163" i="109"/>
  <c r="L164" i="109"/>
  <c r="K164" i="109"/>
  <c r="L165" i="109"/>
  <c r="K165" i="109"/>
  <c r="E167" i="109"/>
  <c r="E128" i="109"/>
  <c r="D167" i="109"/>
  <c r="E127" i="109"/>
  <c r="E142" i="109"/>
  <c r="I108" i="108"/>
  <c r="L108" i="108" s="1"/>
  <c r="I71" i="108"/>
  <c r="L127" i="109" l="1"/>
  <c r="L167" i="109"/>
  <c r="L128" i="109" l="1"/>
  <c r="L129" i="109"/>
  <c r="I121" i="108"/>
  <c r="L121" i="108" s="1"/>
  <c r="I135" i="105"/>
  <c r="L80" i="109"/>
  <c r="I48" i="109"/>
  <c r="L48" i="109" s="1"/>
  <c r="I46" i="109"/>
  <c r="L46" i="109" s="1"/>
  <c r="I47" i="109"/>
  <c r="L47" i="109" s="1"/>
  <c r="I44" i="109"/>
  <c r="L44" i="109" s="1"/>
  <c r="I45" i="109"/>
  <c r="L45" i="109" s="1"/>
  <c r="L49" i="109"/>
  <c r="I150" i="109"/>
  <c r="L150" i="109" s="1"/>
  <c r="I134" i="109"/>
  <c r="L134" i="109" s="1"/>
  <c r="I112" i="109"/>
  <c r="L112" i="109" s="1"/>
  <c r="I92" i="109"/>
  <c r="L92" i="109" s="1"/>
  <c r="I82" i="109"/>
  <c r="L82" i="109" s="1"/>
  <c r="L77" i="109"/>
  <c r="I64" i="109"/>
  <c r="L64" i="109" s="1"/>
  <c r="L58" i="109"/>
  <c r="I52" i="109"/>
  <c r="L52" i="109" s="1"/>
  <c r="I51" i="109"/>
  <c r="L51" i="109" s="1"/>
  <c r="I24" i="109"/>
  <c r="L24" i="109" s="1"/>
  <c r="I27" i="109"/>
  <c r="L27" i="109" s="1"/>
  <c r="I32" i="109"/>
  <c r="L32" i="109" s="1"/>
  <c r="I34" i="109"/>
  <c r="L34" i="109" s="1"/>
  <c r="E21" i="109"/>
  <c r="L7" i="109"/>
  <c r="I8" i="109"/>
  <c r="L8" i="109" s="1"/>
  <c r="I9" i="109"/>
  <c r="L9" i="109" s="1"/>
  <c r="L6" i="109"/>
  <c r="L5" i="109"/>
  <c r="L141" i="109"/>
  <c r="L153" i="109"/>
  <c r="L152" i="109"/>
  <c r="L140" i="109"/>
  <c r="L139" i="109"/>
  <c r="L138" i="109"/>
  <c r="L137" i="109"/>
  <c r="L135" i="109"/>
  <c r="L125" i="109"/>
  <c r="L124" i="109"/>
  <c r="L123" i="109"/>
  <c r="L122" i="109"/>
  <c r="L120" i="109"/>
  <c r="L119" i="109"/>
  <c r="L118" i="109"/>
  <c r="L97" i="109"/>
  <c r="L91" i="109"/>
  <c r="L90" i="109"/>
  <c r="L89" i="109"/>
  <c r="L88" i="109"/>
  <c r="L87" i="109"/>
  <c r="L85" i="109"/>
  <c r="L84" i="109"/>
  <c r="L83" i="109"/>
  <c r="L74" i="109"/>
  <c r="L73" i="109"/>
  <c r="L72" i="109"/>
  <c r="L71" i="109"/>
  <c r="L70" i="109"/>
  <c r="L68" i="109"/>
  <c r="L62" i="109"/>
  <c r="L61" i="109"/>
  <c r="L60" i="109"/>
  <c r="L57" i="109"/>
  <c r="L56" i="109"/>
  <c r="L55" i="109"/>
  <c r="L53" i="109"/>
  <c r="L50" i="109"/>
  <c r="L41" i="109"/>
  <c r="L39" i="109"/>
  <c r="L38" i="109"/>
  <c r="L37" i="109"/>
  <c r="L36" i="109"/>
  <c r="L23" i="109"/>
  <c r="L21" i="109"/>
  <c r="L17" i="109"/>
  <c r="L16" i="109"/>
  <c r="L13" i="109"/>
  <c r="L12" i="109"/>
  <c r="L11" i="109"/>
  <c r="L10" i="109"/>
  <c r="L4" i="109"/>
  <c r="L3" i="109"/>
  <c r="L133" i="109" l="1"/>
  <c r="L142" i="109"/>
  <c r="L148" i="109"/>
  <c r="I102" i="109"/>
  <c r="L102" i="109" s="1"/>
  <c r="I76" i="109"/>
  <c r="L76" i="109" s="1"/>
  <c r="E39" i="109"/>
  <c r="I40" i="109" s="1"/>
  <c r="L40" i="109" s="1"/>
  <c r="I156" i="109"/>
  <c r="L156" i="109" s="1"/>
  <c r="I30" i="109"/>
  <c r="L30" i="109" s="1"/>
  <c r="L67" i="109"/>
  <c r="I98" i="109"/>
  <c r="L98" i="109" s="1"/>
  <c r="I19" i="109"/>
  <c r="L19" i="109" s="1"/>
  <c r="I63" i="109"/>
  <c r="L63" i="109" s="1"/>
  <c r="I26" i="109"/>
  <c r="L26" i="109" s="1"/>
  <c r="I25" i="109"/>
  <c r="L25" i="109" s="1"/>
  <c r="I29" i="109"/>
  <c r="L29" i="109" s="1"/>
  <c r="I96" i="109"/>
  <c r="L96" i="109" s="1"/>
  <c r="I121" i="109"/>
  <c r="L121" i="109" s="1"/>
  <c r="I14" i="109"/>
  <c r="L14" i="109" s="1"/>
  <c r="I18" i="109"/>
  <c r="L18" i="109" s="1"/>
  <c r="I31" i="109"/>
  <c r="L31" i="109" s="1"/>
  <c r="E103" i="109"/>
  <c r="I81" i="109"/>
  <c r="L81" i="109" s="1"/>
  <c r="I115" i="109"/>
  <c r="L115" i="109" s="1"/>
  <c r="I75" i="109"/>
  <c r="L75" i="109" s="1"/>
  <c r="I113" i="109"/>
  <c r="L113" i="109" s="1"/>
  <c r="I154" i="109"/>
  <c r="L154" i="109" s="1"/>
  <c r="I22" i="109"/>
  <c r="L22" i="109" s="1"/>
  <c r="I15" i="109"/>
  <c r="L15" i="109" s="1"/>
  <c r="I33" i="109"/>
  <c r="L33" i="109" s="1"/>
  <c r="I35" i="109"/>
  <c r="L35" i="109" s="1"/>
  <c r="I100" i="109"/>
  <c r="L100" i="109" s="1"/>
  <c r="I101" i="109"/>
  <c r="L101" i="109" s="1"/>
  <c r="I136" i="109"/>
  <c r="L136" i="109" s="1"/>
  <c r="I28" i="109"/>
  <c r="L28" i="109" s="1"/>
  <c r="I59" i="109"/>
  <c r="L59" i="109" s="1"/>
  <c r="I116" i="109"/>
  <c r="L116" i="109" s="1"/>
  <c r="I66" i="109"/>
  <c r="L66" i="109" s="1"/>
  <c r="I157" i="109"/>
  <c r="L157" i="109" s="1"/>
  <c r="I149" i="109"/>
  <c r="L149" i="109" s="1"/>
  <c r="I99" i="109"/>
  <c r="L99" i="109" s="1"/>
  <c r="I95" i="109"/>
  <c r="L95" i="109" s="1"/>
  <c r="L65" i="109"/>
  <c r="I54" i="109"/>
  <c r="L54" i="109" s="1"/>
  <c r="E74" i="109"/>
  <c r="I69" i="109" s="1"/>
  <c r="L69" i="109" s="1"/>
  <c r="I20" i="109"/>
  <c r="L20" i="109" s="1"/>
  <c r="I155" i="109"/>
  <c r="L155" i="109" s="1"/>
  <c r="L132" i="108" l="1"/>
  <c r="E132" i="108"/>
  <c r="E135" i="108" s="1"/>
  <c r="I104" i="108"/>
  <c r="I78" i="108"/>
  <c r="L78" i="108" s="1"/>
  <c r="I74" i="108"/>
  <c r="L74" i="108" s="1"/>
  <c r="I66" i="108"/>
  <c r="L66" i="108" s="1"/>
  <c r="L71" i="108"/>
  <c r="I60" i="108"/>
  <c r="L60" i="108" s="1"/>
  <c r="I25" i="108"/>
  <c r="L25" i="108" s="1"/>
  <c r="L61" i="108"/>
  <c r="L62" i="108"/>
  <c r="L63" i="108"/>
  <c r="L64" i="108"/>
  <c r="L67" i="108"/>
  <c r="L68" i="108"/>
  <c r="L69" i="108"/>
  <c r="L72" i="108"/>
  <c r="L75" i="108"/>
  <c r="L76" i="108"/>
  <c r="L79" i="108"/>
  <c r="I73" i="108"/>
  <c r="L73" i="108" s="1"/>
  <c r="I70" i="108"/>
  <c r="L70" i="108" s="1"/>
  <c r="I65" i="108"/>
  <c r="L65" i="108" s="1"/>
  <c r="I59" i="108"/>
  <c r="L59" i="108" s="1"/>
  <c r="I58" i="108"/>
  <c r="L58" i="108" s="1"/>
  <c r="I57" i="108"/>
  <c r="L57" i="108" s="1"/>
  <c r="I56" i="108"/>
  <c r="L56" i="108" s="1"/>
  <c r="I55" i="108"/>
  <c r="L55" i="108" s="1"/>
  <c r="I53" i="108"/>
  <c r="L53" i="108" s="1"/>
  <c r="E33" i="108"/>
  <c r="G56" i="111" s="1"/>
  <c r="G57" i="111" s="1"/>
  <c r="I5" i="108"/>
  <c r="L5" i="108" s="1"/>
  <c r="L125" i="108"/>
  <c r="L124" i="108"/>
  <c r="L123" i="108"/>
  <c r="L115" i="108"/>
  <c r="L114" i="108"/>
  <c r="L113" i="108"/>
  <c r="L95" i="108"/>
  <c r="L91" i="108"/>
  <c r="L90" i="108"/>
  <c r="L83" i="108"/>
  <c r="L82" i="108"/>
  <c r="L81" i="108"/>
  <c r="L52" i="108"/>
  <c r="L49" i="108"/>
  <c r="L47" i="108"/>
  <c r="L46" i="108"/>
  <c r="L43" i="108"/>
  <c r="L40" i="108"/>
  <c r="L35" i="108"/>
  <c r="L34" i="108"/>
  <c r="E32" i="108"/>
  <c r="G55" i="111" s="1"/>
  <c r="L31" i="108"/>
  <c r="L29" i="108"/>
  <c r="L28" i="108"/>
  <c r="L27" i="108"/>
  <c r="L26" i="108"/>
  <c r="L24" i="108"/>
  <c r="I23" i="108"/>
  <c r="L23" i="108" s="1"/>
  <c r="L21" i="108"/>
  <c r="L20" i="108"/>
  <c r="L19" i="108"/>
  <c r="L14" i="108"/>
  <c r="L13" i="108"/>
  <c r="L10" i="108"/>
  <c r="L3" i="108"/>
  <c r="I30" i="108" l="1"/>
  <c r="L30" i="108" s="1"/>
  <c r="I22" i="108"/>
  <c r="L22" i="108" s="1"/>
  <c r="I133" i="108"/>
  <c r="L133" i="108" s="1"/>
  <c r="E136" i="108"/>
  <c r="G72" i="111" s="1"/>
  <c r="G73" i="111" s="1"/>
  <c r="I77" i="108"/>
  <c r="L77" i="108" s="1"/>
  <c r="I137" i="108"/>
  <c r="L137" i="108" s="1"/>
  <c r="E82" i="108"/>
  <c r="E83" i="108"/>
  <c r="I39" i="108"/>
  <c r="L39" i="108" s="1"/>
  <c r="I36" i="108"/>
  <c r="L36" i="108" s="1"/>
  <c r="E104" i="109"/>
  <c r="E123" i="108"/>
  <c r="I138" i="108"/>
  <c r="L138" i="108" s="1"/>
  <c r="E34" i="108"/>
  <c r="I94" i="108"/>
  <c r="L94" i="108" s="1"/>
  <c r="E95" i="108"/>
  <c r="I134" i="108"/>
  <c r="I92" i="108"/>
  <c r="L92" i="108" s="1"/>
  <c r="I93" i="108"/>
  <c r="L93" i="108" s="1"/>
  <c r="L112" i="108"/>
  <c r="L104" i="108"/>
  <c r="E72" i="108"/>
  <c r="L103" i="108"/>
  <c r="E40" i="108"/>
  <c r="I41" i="108"/>
  <c r="L41" i="108" s="1"/>
  <c r="I48" i="108"/>
  <c r="L48" i="108" s="1"/>
  <c r="I54" i="108"/>
  <c r="L54" i="108" s="1"/>
  <c r="I50" i="108"/>
  <c r="L50" i="108" s="1"/>
  <c r="I37" i="108"/>
  <c r="L37" i="108" s="1"/>
  <c r="I38" i="108"/>
  <c r="L38" i="108" s="1"/>
  <c r="I45" i="108"/>
  <c r="L45" i="108" s="1"/>
  <c r="E46" i="108"/>
  <c r="I42" i="108"/>
  <c r="L42" i="108" s="1"/>
  <c r="I51" i="108"/>
  <c r="L51" i="108" s="1"/>
  <c r="I7" i="108"/>
  <c r="L7" i="108" s="1"/>
  <c r="I15" i="108"/>
  <c r="L15" i="108" s="1"/>
  <c r="I4" i="108"/>
  <c r="L4" i="108" s="1"/>
  <c r="I6" i="108"/>
  <c r="L6" i="108" s="1"/>
  <c r="I122" i="108"/>
  <c r="L122" i="108" s="1"/>
  <c r="I12" i="108"/>
  <c r="L12" i="108" s="1"/>
  <c r="I9" i="108"/>
  <c r="L9" i="108" s="1"/>
  <c r="I16" i="108"/>
  <c r="L16" i="108" s="1"/>
  <c r="E84" i="108"/>
  <c r="I18" i="108"/>
  <c r="L18" i="108" s="1"/>
  <c r="L129" i="108"/>
  <c r="I8" i="108"/>
  <c r="L8" i="108" s="1"/>
  <c r="I44" i="108"/>
  <c r="L44" i="108" s="1"/>
  <c r="E17" i="108"/>
  <c r="G52" i="111" s="1"/>
  <c r="I32" i="108"/>
  <c r="L32" i="108" s="1"/>
  <c r="I85" i="108"/>
  <c r="L85" i="108" s="1"/>
  <c r="L106" i="108"/>
  <c r="I11" i="108"/>
  <c r="L11" i="108" s="1"/>
  <c r="I33" i="108"/>
  <c r="L33" i="108" s="1"/>
  <c r="L47" i="106"/>
  <c r="I31" i="106"/>
  <c r="L31" i="106" s="1"/>
  <c r="I26" i="106"/>
  <c r="L26" i="106" s="1"/>
  <c r="I27" i="106"/>
  <c r="L27" i="106" s="1"/>
  <c r="I25" i="106"/>
  <c r="L25" i="106" s="1"/>
  <c r="I23" i="106"/>
  <c r="L23" i="106" s="1"/>
  <c r="I22" i="106"/>
  <c r="L22" i="106" s="1"/>
  <c r="I10" i="106"/>
  <c r="I8" i="106"/>
  <c r="L8" i="106" s="1"/>
  <c r="I11" i="106"/>
  <c r="L11" i="106" s="1"/>
  <c r="L143" i="105"/>
  <c r="E122" i="105"/>
  <c r="L97" i="105"/>
  <c r="L96" i="105"/>
  <c r="L48" i="106"/>
  <c r="L46" i="106"/>
  <c r="L38" i="106"/>
  <c r="L37" i="106"/>
  <c r="E36" i="106"/>
  <c r="G44" i="111" s="1"/>
  <c r="I30" i="106"/>
  <c r="L30" i="106" s="1"/>
  <c r="L20" i="106"/>
  <c r="L19" i="106"/>
  <c r="L18" i="106"/>
  <c r="L13" i="106"/>
  <c r="L12" i="106"/>
  <c r="L6" i="106"/>
  <c r="L5" i="106"/>
  <c r="L4" i="106"/>
  <c r="L3" i="106"/>
  <c r="E144" i="105"/>
  <c r="E137" i="105"/>
  <c r="I140" i="105"/>
  <c r="I140" i="108" l="1"/>
  <c r="L140" i="108" s="1"/>
  <c r="I126" i="108"/>
  <c r="L126" i="108" s="1"/>
  <c r="G70" i="111"/>
  <c r="G62" i="111"/>
  <c r="I111" i="108"/>
  <c r="L111" i="108" s="1"/>
  <c r="I130" i="108"/>
  <c r="L130" i="108" s="1"/>
  <c r="I42" i="106"/>
  <c r="L42" i="106" s="1"/>
  <c r="I33" i="106"/>
  <c r="L33" i="106" s="1"/>
  <c r="I45" i="106"/>
  <c r="L45" i="106" s="1"/>
  <c r="I41" i="106"/>
  <c r="L41" i="106" s="1"/>
  <c r="I96" i="108"/>
  <c r="L96" i="108" s="1"/>
  <c r="E98" i="108"/>
  <c r="I97" i="108"/>
  <c r="L97" i="108" s="1"/>
  <c r="E97" i="105"/>
  <c r="I44" i="106"/>
  <c r="L44" i="106" s="1"/>
  <c r="I35" i="106"/>
  <c r="L35" i="106" s="1"/>
  <c r="E48" i="106"/>
  <c r="I29" i="106"/>
  <c r="L29" i="106" s="1"/>
  <c r="E32" i="106"/>
  <c r="G43" i="111" s="1"/>
  <c r="I43" i="106"/>
  <c r="L43" i="106" s="1"/>
  <c r="I99" i="108"/>
  <c r="L99" i="108" s="1"/>
  <c r="I102" i="108"/>
  <c r="L102" i="108" s="1"/>
  <c r="L111" i="109"/>
  <c r="I104" i="109"/>
  <c r="L104" i="109" s="1"/>
  <c r="I17" i="108"/>
  <c r="L17" i="108" s="1"/>
  <c r="I84" i="108"/>
  <c r="L84" i="108" s="1"/>
  <c r="E35" i="108"/>
  <c r="E124" i="108"/>
  <c r="I101" i="108"/>
  <c r="L101" i="108" s="1"/>
  <c r="I100" i="108"/>
  <c r="L100" i="108" s="1"/>
  <c r="I14" i="106"/>
  <c r="L14" i="106" s="1"/>
  <c r="E24" i="106"/>
  <c r="I15" i="106"/>
  <c r="L15" i="106" s="1"/>
  <c r="I7" i="106"/>
  <c r="L7" i="106" s="1"/>
  <c r="I21" i="106"/>
  <c r="L21" i="106" s="1"/>
  <c r="I9" i="106"/>
  <c r="L9" i="106" s="1"/>
  <c r="E46" i="106"/>
  <c r="E47" i="106" s="1"/>
  <c r="I40" i="106"/>
  <c r="L40" i="106" s="1"/>
  <c r="I34" i="106"/>
  <c r="L34" i="106" s="1"/>
  <c r="I39" i="106"/>
  <c r="L39" i="106" s="1"/>
  <c r="L10" i="106"/>
  <c r="E16" i="106"/>
  <c r="G40" i="111" s="1"/>
  <c r="I36" i="106"/>
  <c r="L36" i="106" s="1"/>
  <c r="I17" i="106"/>
  <c r="L17" i="106" s="1"/>
  <c r="I28" i="105"/>
  <c r="I10" i="105"/>
  <c r="I131" i="105"/>
  <c r="I11" i="105"/>
  <c r="E59" i="105"/>
  <c r="I49" i="105"/>
  <c r="I51" i="105"/>
  <c r="I39" i="105"/>
  <c r="I40" i="105"/>
  <c r="I42" i="105"/>
  <c r="I121" i="105"/>
  <c r="I8" i="105"/>
  <c r="I31" i="105"/>
  <c r="E72" i="105"/>
  <c r="I16" i="105"/>
  <c r="L93" i="105"/>
  <c r="L72" i="105"/>
  <c r="L71" i="105"/>
  <c r="I24" i="106" l="1"/>
  <c r="L24" i="106" s="1"/>
  <c r="E85" i="109"/>
  <c r="E28" i="106"/>
  <c r="E37" i="106" s="1"/>
  <c r="I32" i="106"/>
  <c r="L32" i="106" s="1"/>
  <c r="I16" i="106"/>
  <c r="L16" i="106" s="1"/>
  <c r="E73" i="105"/>
  <c r="I73" i="105" s="1"/>
  <c r="L73" i="105" s="1"/>
  <c r="L2" i="108"/>
  <c r="E91" i="109" l="1"/>
  <c r="I86" i="109" s="1"/>
  <c r="L86" i="109" s="1"/>
  <c r="I94" i="109"/>
  <c r="L94" i="109" s="1"/>
  <c r="I93" i="109"/>
  <c r="L93" i="109" s="1"/>
  <c r="E38" i="106"/>
  <c r="I28" i="106"/>
  <c r="L28" i="106" s="1"/>
  <c r="L2" i="106" s="1"/>
  <c r="E67" i="105"/>
  <c r="E88" i="113" s="1"/>
  <c r="L67" i="105"/>
  <c r="L69" i="105"/>
  <c r="L68" i="105"/>
  <c r="I66" i="105"/>
  <c r="L66" i="105" s="1"/>
  <c r="I65" i="105"/>
  <c r="L65" i="105" s="1"/>
  <c r="L64" i="105"/>
  <c r="E64" i="105"/>
  <c r="I63" i="105"/>
  <c r="L63" i="105" s="1"/>
  <c r="I62" i="105"/>
  <c r="L62" i="105" s="1"/>
  <c r="L61" i="105"/>
  <c r="E61" i="105"/>
  <c r="I60" i="105"/>
  <c r="L60" i="105" s="1"/>
  <c r="L59" i="105"/>
  <c r="L58" i="105"/>
  <c r="I57" i="105"/>
  <c r="L57" i="105" s="1"/>
  <c r="I56" i="105"/>
  <c r="L56" i="105" s="1"/>
  <c r="L150" i="105"/>
  <c r="L148" i="105"/>
  <c r="L147" i="105"/>
  <c r="E147" i="105"/>
  <c r="L146" i="105"/>
  <c r="L145" i="105"/>
  <c r="I144" i="105"/>
  <c r="L144" i="105" s="1"/>
  <c r="L142" i="105"/>
  <c r="L141" i="105"/>
  <c r="L140" i="105"/>
  <c r="I139" i="105"/>
  <c r="L139" i="105" s="1"/>
  <c r="I138" i="105"/>
  <c r="L138" i="105" s="1"/>
  <c r="I137" i="105"/>
  <c r="L137" i="105" s="1"/>
  <c r="L136" i="105"/>
  <c r="L135" i="105"/>
  <c r="I134" i="105"/>
  <c r="L134" i="105" s="1"/>
  <c r="I133" i="105"/>
  <c r="L133" i="105" s="1"/>
  <c r="L131" i="105"/>
  <c r="I130" i="105"/>
  <c r="L130" i="105" s="1"/>
  <c r="I129" i="105"/>
  <c r="L129" i="105" s="1"/>
  <c r="I128" i="105"/>
  <c r="L128" i="105" s="1"/>
  <c r="L127" i="105"/>
  <c r="L126" i="105"/>
  <c r="L125" i="105"/>
  <c r="I124" i="105"/>
  <c r="L124" i="105" s="1"/>
  <c r="E123" i="105"/>
  <c r="G28" i="111" s="1"/>
  <c r="L122" i="105"/>
  <c r="L121" i="105"/>
  <c r="I120" i="105"/>
  <c r="L120" i="105" s="1"/>
  <c r="L119" i="105"/>
  <c r="L118" i="105"/>
  <c r="L117" i="105"/>
  <c r="L116" i="105"/>
  <c r="L115" i="105"/>
  <c r="L114" i="105"/>
  <c r="I113" i="105"/>
  <c r="L113" i="105" s="1"/>
  <c r="I112" i="105"/>
  <c r="L112" i="105" s="1"/>
  <c r="I111" i="105"/>
  <c r="L111" i="105" s="1"/>
  <c r="I110" i="105"/>
  <c r="L110" i="105" s="1"/>
  <c r="I109" i="105"/>
  <c r="L109" i="105" s="1"/>
  <c r="I108" i="105"/>
  <c r="L108" i="105" s="1"/>
  <c r="I107" i="105"/>
  <c r="L107" i="105" s="1"/>
  <c r="L106" i="105"/>
  <c r="I105" i="105"/>
  <c r="L105" i="105" s="1"/>
  <c r="I104" i="105"/>
  <c r="L104" i="105" s="1"/>
  <c r="L103" i="105"/>
  <c r="L102" i="105"/>
  <c r="L101" i="105"/>
  <c r="L100" i="105"/>
  <c r="L99" i="105"/>
  <c r="L98" i="105"/>
  <c r="L95" i="105"/>
  <c r="L94" i="105"/>
  <c r="L92" i="105"/>
  <c r="I90" i="105"/>
  <c r="L90" i="105" s="1"/>
  <c r="I89" i="105"/>
  <c r="L89" i="105" s="1"/>
  <c r="I88" i="105"/>
  <c r="L88" i="105" s="1"/>
  <c r="L87" i="105"/>
  <c r="E87" i="105"/>
  <c r="L86" i="105"/>
  <c r="I85" i="105"/>
  <c r="L85" i="105" s="1"/>
  <c r="I84" i="105"/>
  <c r="L84" i="105" s="1"/>
  <c r="I83" i="105"/>
  <c r="L83" i="105" s="1"/>
  <c r="L82" i="105"/>
  <c r="I81" i="105"/>
  <c r="L81" i="105" s="1"/>
  <c r="I80" i="105"/>
  <c r="L80" i="105" s="1"/>
  <c r="L79" i="105"/>
  <c r="L78" i="105"/>
  <c r="L77" i="105"/>
  <c r="I76" i="105"/>
  <c r="L76" i="105" s="1"/>
  <c r="L75" i="105"/>
  <c r="L54" i="105"/>
  <c r="L53" i="105"/>
  <c r="I52" i="105"/>
  <c r="L52" i="105" s="1"/>
  <c r="L51" i="105"/>
  <c r="I50" i="105"/>
  <c r="L50" i="105" s="1"/>
  <c r="L49" i="105"/>
  <c r="L48" i="105"/>
  <c r="L47" i="105"/>
  <c r="L44" i="105"/>
  <c r="I43" i="105"/>
  <c r="L43" i="105" s="1"/>
  <c r="L42" i="105"/>
  <c r="E41" i="105"/>
  <c r="I70" i="105" s="1"/>
  <c r="L40" i="105"/>
  <c r="L39" i="105"/>
  <c r="L38" i="105"/>
  <c r="L37" i="105"/>
  <c r="L36" i="105"/>
  <c r="L34" i="105"/>
  <c r="E34" i="105"/>
  <c r="I33" i="105"/>
  <c r="L33" i="105" s="1"/>
  <c r="I32" i="105"/>
  <c r="L32" i="105" s="1"/>
  <c r="L31" i="105"/>
  <c r="L30" i="105"/>
  <c r="I29" i="105"/>
  <c r="L29" i="105" s="1"/>
  <c r="L28" i="105"/>
  <c r="L27" i="105"/>
  <c r="L26" i="105"/>
  <c r="L25" i="105"/>
  <c r="I23" i="105"/>
  <c r="L23" i="105" s="1"/>
  <c r="E21" i="105"/>
  <c r="I21" i="105" s="1"/>
  <c r="L21" i="105" s="1"/>
  <c r="I20" i="105"/>
  <c r="L20" i="105" s="1"/>
  <c r="I19" i="105"/>
  <c r="L19" i="105" s="1"/>
  <c r="E18" i="105"/>
  <c r="I17" i="105"/>
  <c r="L17" i="105" s="1"/>
  <c r="L16" i="105"/>
  <c r="L15" i="105"/>
  <c r="L14" i="105"/>
  <c r="I13" i="105"/>
  <c r="L13" i="105" s="1"/>
  <c r="I12" i="105"/>
  <c r="L12" i="105" s="1"/>
  <c r="L11" i="105"/>
  <c r="L10" i="105"/>
  <c r="I9" i="105"/>
  <c r="L9" i="105" s="1"/>
  <c r="L8" i="105"/>
  <c r="L7" i="105"/>
  <c r="L6" i="105"/>
  <c r="L5" i="105"/>
  <c r="L4" i="105"/>
  <c r="L3" i="105"/>
  <c r="E150" i="105" l="1"/>
  <c r="E52" i="108"/>
  <c r="I123" i="105"/>
  <c r="L123" i="105" s="1"/>
  <c r="E22" i="105"/>
  <c r="G12" i="111" s="1"/>
  <c r="I18" i="105"/>
  <c r="L18" i="105" s="1"/>
  <c r="E46" i="105"/>
  <c r="I35" i="105"/>
  <c r="L35" i="105" s="1"/>
  <c r="L70" i="105"/>
  <c r="I41" i="105"/>
  <c r="L41" i="105" s="1"/>
  <c r="I149" i="105"/>
  <c r="L149" i="105" s="1"/>
  <c r="E132" i="105"/>
  <c r="E91" i="105"/>
  <c r="E145" i="105" l="1"/>
  <c r="I46" i="105"/>
  <c r="L46" i="105" s="1"/>
  <c r="I22" i="105"/>
  <c r="L22" i="105" s="1"/>
  <c r="E47" i="105"/>
  <c r="E92" i="105"/>
  <c r="I91" i="105"/>
  <c r="L91" i="105" s="1"/>
  <c r="I132" i="105"/>
  <c r="L132" i="105" s="1"/>
  <c r="I45" i="105"/>
  <c r="L45" i="105" s="1"/>
  <c r="L2" i="105" l="1"/>
  <c r="E93" i="105"/>
  <c r="E48" i="105"/>
  <c r="E146" i="105"/>
  <c r="L176" i="109" l="1"/>
  <c r="K176" i="109"/>
  <c r="L166" i="109" l="1"/>
  <c r="K166" i="109"/>
  <c r="L2" i="109" l="1"/>
  <c r="C4" i="9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F49" authorId="0" shapeId="0" xr:uid="{D1530F04-5AF7-433B-AA50-345EB7751B9F}">
      <text>
        <r>
          <rPr>
            <sz val="10"/>
            <color indexed="81"/>
            <rFont val="Calibri"/>
            <family val="2"/>
            <scheme val="minor"/>
          </rPr>
          <t>In caso di misura in data successiva al  31/12 dell’anno a ma entro il 31/1 dell’anno a+1 sono da considerare nulli i volumi relativi al periodo dal 1/1 dell’anno a+1 fino alla data di lettura.</t>
        </r>
      </text>
    </comment>
    <comment ref="F51" authorId="0" shapeId="0" xr:uid="{2B225823-9A59-4151-9069-FECE3239A028}">
      <text>
        <r>
          <rPr>
            <sz val="10"/>
            <color indexed="81"/>
            <rFont val="Calibri"/>
            <family val="2"/>
            <scheme val="minor"/>
          </rPr>
          <t>In caso di misura in data successiva al 31/12 dell’anno a ma entro il 31/1 dell’anno a+1 sono da considerare nulli i consumi relativi al periodo dal 1/1 dell’anno(a+1 fino alla data di lettura.</t>
        </r>
      </text>
    </comment>
    <comment ref="F62" authorId="0" shapeId="0" xr:uid="{59AD244D-E89F-4B1A-A2D9-15FD9D5E3C04}">
      <text>
        <r>
          <rPr>
            <sz val="9"/>
            <color indexed="81"/>
            <rFont val="Tahoma"/>
            <family val="2"/>
          </rPr>
          <t xml:space="preserve">occorre escludere eventuali volumi associati a periodi temporali durante i quali il sistema di trasmissione dei dati non ha funzionato
</t>
        </r>
      </text>
    </comment>
    <comment ref="F63" authorId="0" shapeId="0" xr:uid="{99AE3860-15B2-4D50-9001-F54283569A5D}">
      <text>
        <r>
          <rPr>
            <sz val="9"/>
            <color indexed="81"/>
            <rFont val="Tahoma"/>
            <family val="2"/>
          </rPr>
          <t>occorre escludere eventuali volumi associati a periodi temporali durante i quali il sistema di trasmissione dei dati non ha funzionato</t>
        </r>
      </text>
    </comment>
    <comment ref="F65" authorId="0" shapeId="0" xr:uid="{4ED58AB6-FBA2-4471-89E0-7845A33F4488}">
      <text>
        <r>
          <rPr>
            <sz val="9"/>
            <color indexed="81"/>
            <rFont val="Tahoma"/>
            <family val="2"/>
          </rPr>
          <t>occorre escludere</t>
        </r>
        <r>
          <rPr>
            <b/>
            <sz val="9"/>
            <color indexed="81"/>
            <rFont val="Tahoma"/>
            <family val="2"/>
          </rPr>
          <t xml:space="preserve"> </t>
        </r>
        <r>
          <rPr>
            <sz val="9"/>
            <color indexed="81"/>
            <rFont val="Tahoma"/>
            <family val="2"/>
          </rPr>
          <t>eventuali volumi associati a periodi temporali durante i quali il sistema di trasmissione dei dati non ha funzionato</t>
        </r>
        <r>
          <rPr>
            <sz val="9"/>
            <color indexed="81"/>
            <rFont val="Tahoma"/>
            <family val="2"/>
          </rPr>
          <t xml:space="preserve">
</t>
        </r>
      </text>
    </comment>
    <comment ref="F66" authorId="0" shapeId="0" xr:uid="{38F866E5-5FF3-49AE-A36A-2CA842AA63C9}">
      <text>
        <r>
          <rPr>
            <sz val="9"/>
            <color indexed="81"/>
            <rFont val="Tahoma"/>
            <family val="2"/>
          </rPr>
          <t>occorre escludere eventuali volumi associati a periodi temporali durante i quali il sistema di trasmissione dei dati non ha funzionato</t>
        </r>
      </text>
    </comment>
    <comment ref="F80" authorId="0" shapeId="0" xr:uid="{FC1FF288-AB7B-4F43-ACA8-9B05316828B4}">
      <text>
        <r>
          <rPr>
            <sz val="9"/>
            <color indexed="81"/>
            <rFont val="Tahoma"/>
            <family val="2"/>
          </rPr>
          <t xml:space="preserve">Fontane, fontanelle e idranti non rientrano nel conteggio in quanto non contrattualizzate separatamente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C2" authorId="0" shapeId="0" xr:uid="{2558563C-D067-4E9A-A357-D757E7E4319E}">
      <text>
        <r>
          <rPr>
            <b/>
            <sz val="10"/>
            <color indexed="81"/>
            <rFont val="Calibri"/>
            <family val="2"/>
          </rPr>
          <t xml:space="preserve">Nelle celle gialle, inserire i valori (relativi all'anno 2023) per la definizione degli obiettivi 2024 e 2025. Per i gestori approvati MTI-4, è possibile copiare e incollare i medesimi valori dal file Dati_storici.xlsx fornito dall'Autorità (foglio Riepilogo_RQTI_24-25) </t>
        </r>
      </text>
    </comment>
    <comment ref="B9" authorId="0" shapeId="0" xr:uid="{2ECC03E9-E2DF-4AF7-9481-E36F42795E34}">
      <text>
        <r>
          <rPr>
            <sz val="9"/>
            <color indexed="81"/>
            <rFont val="Tahoma"/>
            <family val="2"/>
          </rPr>
          <t>obiettivo per il successivo anno (a+1)</t>
        </r>
      </text>
    </comment>
    <comment ref="B18" authorId="0" shapeId="0" xr:uid="{C1257FF5-5264-4A6C-B608-AA1DE07399D3}">
      <text>
        <r>
          <rPr>
            <sz val="9"/>
            <color indexed="81"/>
            <rFont val="Tahoma"/>
            <family val="2"/>
          </rPr>
          <t xml:space="preserve">obiettivo per il successivo anno (a+1)
</t>
        </r>
      </text>
    </comment>
    <comment ref="B25" authorId="0" shapeId="0" xr:uid="{8B296DE9-D17A-4842-95BD-9F3E7D55E5D6}">
      <text>
        <r>
          <rPr>
            <sz val="9"/>
            <color indexed="81"/>
            <rFont val="Tahoma"/>
            <family val="2"/>
          </rPr>
          <t>obiettivo per il successivo anno (a+1)</t>
        </r>
        <r>
          <rPr>
            <b/>
            <sz val="9"/>
            <color indexed="81"/>
            <rFont val="Tahoma"/>
            <family val="2"/>
          </rPr>
          <t xml:space="preserve">
</t>
        </r>
        <r>
          <rPr>
            <sz val="9"/>
            <color indexed="81"/>
            <rFont val="Tahoma"/>
            <family val="2"/>
          </rPr>
          <t xml:space="preserve">
</t>
        </r>
      </text>
    </comment>
    <comment ref="B35" authorId="0" shapeId="0" xr:uid="{5557C25A-B9D2-4491-866B-CFDB944C2F87}">
      <text>
        <r>
          <rPr>
            <sz val="9"/>
            <color indexed="81"/>
            <rFont val="Tahoma"/>
            <family val="2"/>
          </rPr>
          <t>obiettivo per il successivo anno (a+1)</t>
        </r>
        <r>
          <rPr>
            <b/>
            <sz val="9"/>
            <color indexed="81"/>
            <rFont val="Tahoma"/>
            <family val="2"/>
          </rPr>
          <t xml:space="preserve">
</t>
        </r>
        <r>
          <rPr>
            <sz val="9"/>
            <color indexed="81"/>
            <rFont val="Tahoma"/>
            <family val="2"/>
          </rPr>
          <t xml:space="preserve">
</t>
        </r>
      </text>
    </comment>
    <comment ref="B36" authorId="0" shapeId="0" xr:uid="{CE4E0851-540F-4FD0-B3BD-31DF1264BD71}">
      <text>
        <r>
          <rPr>
            <sz val="9"/>
            <color indexed="81"/>
            <rFont val="Tahoma"/>
            <family val="2"/>
          </rPr>
          <t>obiettivo per il successivo anno (a+1)</t>
        </r>
        <r>
          <rPr>
            <b/>
            <sz val="9"/>
            <color indexed="81"/>
            <rFont val="Tahoma"/>
            <family val="2"/>
          </rPr>
          <t xml:space="preserve">
</t>
        </r>
        <r>
          <rPr>
            <sz val="9"/>
            <color indexed="81"/>
            <rFont val="Tahoma"/>
            <family val="2"/>
          </rPr>
          <t xml:space="preserve">
</t>
        </r>
      </text>
    </comment>
    <comment ref="B37" authorId="0" shapeId="0" xr:uid="{EA550C88-7711-4BC4-9E8F-747A19688722}">
      <text>
        <r>
          <rPr>
            <sz val="9"/>
            <color indexed="81"/>
            <rFont val="Tahoma"/>
            <family val="2"/>
          </rPr>
          <t>obiettivo per il successivo anno (a+1)</t>
        </r>
        <r>
          <rPr>
            <b/>
            <sz val="9"/>
            <color indexed="81"/>
            <rFont val="Tahoma"/>
            <family val="2"/>
          </rPr>
          <t xml:space="preserve">
</t>
        </r>
      </text>
    </comment>
    <comment ref="B47" authorId="0" shapeId="0" xr:uid="{D1C963C8-94BC-470F-B27C-8DE5189EAA37}">
      <text>
        <r>
          <rPr>
            <sz val="9"/>
            <color indexed="81"/>
            <rFont val="Tahoma"/>
            <family val="2"/>
          </rPr>
          <t>obiettivo per il successivo anno (a+1)</t>
        </r>
        <r>
          <rPr>
            <b/>
            <sz val="9"/>
            <color indexed="81"/>
            <rFont val="Tahoma"/>
            <family val="2"/>
          </rPr>
          <t xml:space="preserve">
</t>
        </r>
        <r>
          <rPr>
            <sz val="9"/>
            <color indexed="81"/>
            <rFont val="Tahoma"/>
            <family val="2"/>
          </rPr>
          <t xml:space="preserve">
</t>
        </r>
      </text>
    </comment>
    <comment ref="B48" authorId="0" shapeId="0" xr:uid="{B0F1AF31-09BD-4B67-A66E-539D8FC875A7}">
      <text>
        <r>
          <rPr>
            <sz val="9"/>
            <color indexed="81"/>
            <rFont val="Tahoma"/>
            <family val="2"/>
          </rPr>
          <t>obiettivo per il successivo anno (a+1)</t>
        </r>
        <r>
          <rPr>
            <b/>
            <sz val="9"/>
            <color indexed="81"/>
            <rFont val="Tahoma"/>
            <family val="2"/>
          </rPr>
          <t xml:space="preserve">
</t>
        </r>
        <r>
          <rPr>
            <sz val="9"/>
            <color indexed="81"/>
            <rFont val="Tahoma"/>
            <family val="2"/>
          </rPr>
          <t xml:space="preserve">
</t>
        </r>
      </text>
    </comment>
    <comment ref="B49" authorId="0" shapeId="0" xr:uid="{285BA27F-D036-4495-8B2E-721A7C0A3F55}">
      <text>
        <r>
          <rPr>
            <sz val="9"/>
            <color indexed="81"/>
            <rFont val="Tahoma"/>
            <family val="2"/>
          </rPr>
          <t>obiettivo per il successivo anno (a+1)</t>
        </r>
        <r>
          <rPr>
            <b/>
            <sz val="9"/>
            <color indexed="81"/>
            <rFont val="Tahoma"/>
            <family val="2"/>
          </rPr>
          <t xml:space="preserve">
</t>
        </r>
      </text>
    </comment>
    <comment ref="B59" authorId="0" shapeId="0" xr:uid="{8C5FE748-6A3F-4E3E-8825-5D10AF3EA622}">
      <text>
        <r>
          <rPr>
            <sz val="9"/>
            <color indexed="81"/>
            <rFont val="Tahoma"/>
            <family val="2"/>
          </rPr>
          <t xml:space="preserve">obiettivo per il successivo anno (a+1)
</t>
        </r>
      </text>
    </comment>
    <comment ref="B67" authorId="0" shapeId="0" xr:uid="{8D395E51-FC4A-4369-A747-DA08F702351B}">
      <text>
        <r>
          <rPr>
            <sz val="9"/>
            <color indexed="81"/>
            <rFont val="Tahoma"/>
            <family val="2"/>
          </rPr>
          <t>obiettivo per il successivo anno (a+1)</t>
        </r>
      </text>
    </comment>
    <comment ref="B75" authorId="0" shapeId="0" xr:uid="{A94BFB24-435A-444B-8002-C8193B82842B}">
      <text>
        <r>
          <rPr>
            <sz val="9"/>
            <color indexed="81"/>
            <rFont val="Tahoma"/>
            <family val="2"/>
          </rPr>
          <t>obiettivo per il successivo anno (a+2)</t>
        </r>
      </text>
    </comment>
    <comment ref="F79" authorId="0" shapeId="0" xr:uid="{435B4A5E-1FD3-4DBC-B915-4D46DC5763C6}">
      <text>
        <r>
          <rPr>
            <sz val="9"/>
            <color indexed="81"/>
            <rFont val="Tahoma"/>
            <family val="2"/>
          </rPr>
          <t xml:space="preserve">NO=classe peggiorata </t>
        </r>
      </text>
    </comment>
  </commentList>
</comments>
</file>

<file path=xl/sharedStrings.xml><?xml version="1.0" encoding="utf-8"?>
<sst xmlns="http://schemas.openxmlformats.org/spreadsheetml/2006/main" count="4155" uniqueCount="3330">
  <si>
    <t>X</t>
  </si>
  <si>
    <t>-</t>
  </si>
  <si>
    <t>km</t>
  </si>
  <si>
    <t>A.E.</t>
  </si>
  <si>
    <t>%</t>
  </si>
  <si>
    <t>SI</t>
  </si>
  <si>
    <t>NO</t>
  </si>
  <si>
    <t>UdM</t>
  </si>
  <si>
    <t>n.</t>
  </si>
  <si>
    <t>Note compilazione</t>
  </si>
  <si>
    <t>ACQ</t>
  </si>
  <si>
    <t>Il gestore gestisce il servizio di acquedotto?
Se sì, specificare:</t>
  </si>
  <si>
    <t>ACQ_c</t>
  </si>
  <si>
    <t>- captazione</t>
  </si>
  <si>
    <t>ACQ_a</t>
  </si>
  <si>
    <t>- adduzione</t>
  </si>
  <si>
    <t>ACQ_p</t>
  </si>
  <si>
    <t>-  potabilizzazione</t>
  </si>
  <si>
    <t>ACQ_d</t>
  </si>
  <si>
    <t>- distribuzione</t>
  </si>
  <si>
    <t>FOG</t>
  </si>
  <si>
    <t>Il gestore gestisce il servizio di fognatura?
Se sì, specificare:</t>
  </si>
  <si>
    <t>FOG_m</t>
  </si>
  <si>
    <t>- fognatura mista</t>
  </si>
  <si>
    <t>FOG_n</t>
  </si>
  <si>
    <t>- fognatura nera</t>
  </si>
  <si>
    <t>FOG_b</t>
  </si>
  <si>
    <t>- fognatura bianca</t>
  </si>
  <si>
    <t>Se soggetta a regolazione tariffaria</t>
  </si>
  <si>
    <t>DEP</t>
  </si>
  <si>
    <t>Il gestore gestisce il servizio di depurazione?</t>
  </si>
  <si>
    <t>QA1</t>
  </si>
  <si>
    <t>QA2</t>
  </si>
  <si>
    <t>Indicare se il gestore ha effettivamente applicato le procedure di cui al precedente alinea</t>
  </si>
  <si>
    <t>QA3</t>
  </si>
  <si>
    <t>Indicare se il gestore ha ottemperato alle disposizioni regionali eventualmente emanate in materia</t>
  </si>
  <si>
    <r>
      <t>C</t>
    </r>
    <r>
      <rPr>
        <vertAlign val="subscript"/>
        <sz val="11"/>
        <color rgb="FF000000"/>
        <rFont val="Calibri"/>
        <family val="2"/>
        <scheme val="minor"/>
      </rPr>
      <t>ACQ-min</t>
    </r>
  </si>
  <si>
    <t>mc/gg</t>
  </si>
  <si>
    <r>
      <t>C</t>
    </r>
    <r>
      <rPr>
        <vertAlign val="subscript"/>
        <sz val="11"/>
        <color rgb="FF000000"/>
        <rFont val="Calibri"/>
        <family val="2"/>
        <scheme val="minor"/>
      </rPr>
      <t>ACQ-real</t>
    </r>
  </si>
  <si>
    <t>QA4</t>
  </si>
  <si>
    <t>Il gestore ha eseguito il numero minimo annuale di controlli interni?</t>
  </si>
  <si>
    <t xml:space="preserve">Notazione dato </t>
  </si>
  <si>
    <t>Descrizione dato</t>
  </si>
  <si>
    <t>PRA</t>
  </si>
  <si>
    <t>Popolazione residente servita (PRA)</t>
  </si>
  <si>
    <t>ab.</t>
  </si>
  <si>
    <t>PFA</t>
  </si>
  <si>
    <t>Popolazione fluttuante (PFA)</t>
  </si>
  <si>
    <t>Calcolo del macro-indicatore M1</t>
  </si>
  <si>
    <r>
      <t>Ist</t>
    </r>
    <r>
      <rPr>
        <vertAlign val="subscript"/>
        <sz val="11"/>
        <color rgb="FF000000"/>
        <rFont val="Calibri"/>
        <family val="2"/>
        <scheme val="minor"/>
      </rPr>
      <t>D,M1</t>
    </r>
  </si>
  <si>
    <t>Indicare se è stata formulata istanza per eventi imprevisti e imprevedibili che hanno comportato il mancato rispetto degli obiettivi per M1</t>
  </si>
  <si>
    <t xml:space="preserve">Somma dei volumi in ingresso nel sistema di acquedotto </t>
  </si>
  <si>
    <t>mc</t>
  </si>
  <si>
    <t xml:space="preserve">Somma dei volumi in uscita dal sistema di acquedotto </t>
  </si>
  <si>
    <t>WLT1</t>
  </si>
  <si>
    <r>
      <t>di cui perdite trattamento misurate (se incluse in ∑W</t>
    </r>
    <r>
      <rPr>
        <i/>
        <vertAlign val="subscript"/>
        <sz val="11"/>
        <color indexed="8"/>
        <rFont val="Calibri"/>
        <family val="2"/>
        <scheme val="minor"/>
      </rPr>
      <t>OUT</t>
    </r>
    <r>
      <rPr>
        <i/>
        <sz val="11"/>
        <color indexed="8"/>
        <rFont val="Calibri"/>
        <family val="2"/>
        <scheme val="minor"/>
      </rPr>
      <t>)</t>
    </r>
  </si>
  <si>
    <r>
      <t>WL</t>
    </r>
    <r>
      <rPr>
        <vertAlign val="subscript"/>
        <sz val="11"/>
        <color theme="1"/>
        <rFont val="Calibri"/>
        <family val="2"/>
        <scheme val="minor"/>
      </rPr>
      <t>TOT</t>
    </r>
  </si>
  <si>
    <t>Volume perso complessivamente nell’anno  nelle fasi del servizio di acquedotto gestite</t>
  </si>
  <si>
    <t>WLT2</t>
  </si>
  <si>
    <t>Non si considera (in questa sede) come trattata l'acqua sottoposta alla sola disinfezione</t>
  </si>
  <si>
    <t>WLD</t>
  </si>
  <si>
    <t xml:space="preserve">     di cui perdite idriche totali in distribuzione</t>
  </si>
  <si>
    <t>WD5</t>
  </si>
  <si>
    <t>Acqua potabile immessa nel sistema di distribuzione (esclusa acqua esportata)</t>
  </si>
  <si>
    <t>RW</t>
  </si>
  <si>
    <t>di cui consumo fatturato (distribuzione)</t>
  </si>
  <si>
    <t>Consumi autorizzati fatturati (misurati e non misurati), dato utilizzato anche per il calcolo di G3.1</t>
  </si>
  <si>
    <t>NRW</t>
  </si>
  <si>
    <t>di cui consumo non fatturato (distribuzione)</t>
  </si>
  <si>
    <t>Consumi autorizzati non fatturati e perdite idriche totali in distribuzione (WLD)</t>
  </si>
  <si>
    <t>Lp</t>
  </si>
  <si>
    <t>Lunghezza totale delle condotte di adduzione e distribuzione, escluse le derivazioni d’utenza</t>
  </si>
  <si>
    <t>La</t>
  </si>
  <si>
    <t xml:space="preserve">     di cui lunghezza rete principale di adduzione (La)</t>
  </si>
  <si>
    <t>Ld</t>
  </si>
  <si>
    <t xml:space="preserve">     di cui lunghezza rete principale di distribuzione (Ld)</t>
  </si>
  <si>
    <t>M1a</t>
  </si>
  <si>
    <t>Perdite idriche lineari</t>
  </si>
  <si>
    <t>mc/km/gg</t>
  </si>
  <si>
    <t xml:space="preserve">Vedere RQTI al comma 7.2 </t>
  </si>
  <si>
    <t>M1b</t>
  </si>
  <si>
    <t>Perdite idriche percentuali</t>
  </si>
  <si>
    <t>M1CL</t>
  </si>
  <si>
    <t>Perdite idriche - Classe di appartenenza</t>
  </si>
  <si>
    <t>OB1</t>
  </si>
  <si>
    <t xml:space="preserve">Perdite idriche - Obiettivo </t>
  </si>
  <si>
    <t>Somma dei volumi di processo totali (presi ognuno in valore assoluto)</t>
  </si>
  <si>
    <t>Somma dei volumi di processo misurati</t>
  </si>
  <si>
    <t>WP</t>
  </si>
  <si>
    <t>Quota volumi di processo misurati</t>
  </si>
  <si>
    <t xml:space="preserve">Vedere RQTI al comma 20.2 </t>
  </si>
  <si>
    <t>Somma dei volumi di utenza totali</t>
  </si>
  <si>
    <t>Somma dei volumi di utenza misurati</t>
  </si>
  <si>
    <t>WU</t>
  </si>
  <si>
    <t>Quota volumi di utenza misurati</t>
  </si>
  <si>
    <t>G1.1</t>
  </si>
  <si>
    <t>Quota di volumi misurati sui totali</t>
  </si>
  <si>
    <t>Calcolo del macro-indicatore M2</t>
  </si>
  <si>
    <r>
      <t>Ist</t>
    </r>
    <r>
      <rPr>
        <vertAlign val="subscript"/>
        <sz val="11"/>
        <color rgb="FF000000"/>
        <rFont val="Calibri"/>
        <family val="2"/>
        <scheme val="minor"/>
      </rPr>
      <t>D,M2</t>
    </r>
  </si>
  <si>
    <t>Indicare se è stata formulata istanza per eventi imprevisti e imprevedibili che hanno comportato il mancato rispetto degli obiettivi per M2</t>
  </si>
  <si>
    <t>UtT</t>
  </si>
  <si>
    <t>Numero di utenti finali serviti dal gestore per il servizio di acquedotto (esclusi utenti indiretti)</t>
  </si>
  <si>
    <r>
      <t>UtT</t>
    </r>
    <r>
      <rPr>
        <vertAlign val="subscript"/>
        <sz val="11"/>
        <color indexed="8"/>
        <rFont val="Calibri"/>
        <family val="2"/>
        <scheme val="minor"/>
      </rPr>
      <t>d</t>
    </r>
  </si>
  <si>
    <t xml:space="preserve">     di cui utenze domestiche</t>
  </si>
  <si>
    <t>Come da definizioni TICSI</t>
  </si>
  <si>
    <r>
      <t>UtT</t>
    </r>
    <r>
      <rPr>
        <vertAlign val="subscript"/>
        <sz val="11"/>
        <color indexed="8"/>
        <rFont val="Calibri"/>
        <family val="2"/>
        <scheme val="minor"/>
      </rPr>
      <t>nd</t>
    </r>
  </si>
  <si>
    <t xml:space="preserve">     di cui utenze non domestiche</t>
  </si>
  <si>
    <r>
      <t>UtT</t>
    </r>
    <r>
      <rPr>
        <vertAlign val="subscript"/>
        <sz val="11"/>
        <color indexed="8"/>
        <rFont val="Calibri"/>
        <family val="2"/>
        <scheme val="minor"/>
      </rPr>
      <t>cond</t>
    </r>
  </si>
  <si>
    <t>Numero di utenze condominiali servite dal gestore per il servizio di acquedotto</t>
  </si>
  <si>
    <r>
      <t>UtT</t>
    </r>
    <r>
      <rPr>
        <vertAlign val="subscript"/>
        <sz val="11"/>
        <color indexed="8"/>
        <rFont val="Calibri"/>
        <family val="2"/>
        <scheme val="minor"/>
      </rPr>
      <t>indr</t>
    </r>
  </si>
  <si>
    <t>Numero di utenti indiretti sottesi alle utenze condominiali servite dal gestore per il servizio di acquedotto</t>
  </si>
  <si>
    <r>
      <t>UtT</t>
    </r>
    <r>
      <rPr>
        <vertAlign val="subscript"/>
        <sz val="11"/>
        <color indexed="8"/>
        <rFont val="Calibri"/>
        <family val="2"/>
        <scheme val="minor"/>
      </rPr>
      <t>indr,d</t>
    </r>
  </si>
  <si>
    <t xml:space="preserve">       di cui utenze domestiche</t>
  </si>
  <si>
    <r>
      <t>UtT</t>
    </r>
    <r>
      <rPr>
        <vertAlign val="subscript"/>
        <sz val="11"/>
        <color indexed="8"/>
        <rFont val="Calibri"/>
        <family val="2"/>
        <scheme val="minor"/>
      </rPr>
      <t>indr,nd</t>
    </r>
  </si>
  <si>
    <t xml:space="preserve">       di cui utenze non domestiche</t>
  </si>
  <si>
    <r>
      <t>U</t>
    </r>
    <r>
      <rPr>
        <vertAlign val="subscript"/>
        <sz val="11"/>
        <color indexed="8"/>
        <rFont val="Calibri"/>
        <family val="2"/>
        <scheme val="minor"/>
      </rPr>
      <t>tot,ACQ</t>
    </r>
  </si>
  <si>
    <t>Numero complessivo di utenti finali serviti dal gestore per il servizio di acquedotto (compresi utenti indiretti)</t>
  </si>
  <si>
    <t>Dato utilizzato anche per il calcolo di M3a, G3.2 e di G5.2</t>
  </si>
  <si>
    <t>Numero complessivo di utenti finali (compresi utenti indiretti) soggetti ad interruzioni del servizio nell’anno (di durata maggiore o uguale ad 1 ora)</t>
  </si>
  <si>
    <t>Gli utenti interessati dalle interruzioni si contano tante volte quante sono le interruzioni</t>
  </si>
  <si>
    <r>
      <t>∑t</t>
    </r>
    <r>
      <rPr>
        <vertAlign val="subscript"/>
        <sz val="11"/>
        <color theme="1"/>
        <rFont val="Calibri"/>
        <family val="2"/>
        <scheme val="minor"/>
      </rPr>
      <t>I</t>
    </r>
  </si>
  <si>
    <t>Durata totale delle interruzioni avvenute nell'anno (di durata maggiore o uguale ad 1 ora)</t>
  </si>
  <si>
    <t>ore</t>
  </si>
  <si>
    <r>
      <t>∑U</t>
    </r>
    <r>
      <rPr>
        <vertAlign val="subscript"/>
        <sz val="11"/>
        <color theme="1"/>
        <rFont val="Calibri"/>
        <family val="2"/>
        <scheme val="minor"/>
      </rPr>
      <t>I</t>
    </r>
    <r>
      <rPr>
        <sz val="11"/>
        <color theme="1"/>
        <rFont val="Calibri"/>
        <family val="2"/>
        <scheme val="minor"/>
      </rPr>
      <t xml:space="preserve"> </t>
    </r>
    <r>
      <rPr>
        <sz val="11"/>
        <color theme="1"/>
        <rFont val="Calibri"/>
        <family val="2"/>
      </rPr>
      <t xml:space="preserve">× </t>
    </r>
    <r>
      <rPr>
        <sz val="11"/>
        <color theme="1"/>
        <rFont val="Calibri"/>
        <family val="2"/>
        <scheme val="minor"/>
      </rPr>
      <t>t</t>
    </r>
    <r>
      <rPr>
        <vertAlign val="subscript"/>
        <sz val="11"/>
        <color theme="1"/>
        <rFont val="Calibri"/>
        <family val="2"/>
        <scheme val="minor"/>
      </rPr>
      <t>I</t>
    </r>
  </si>
  <si>
    <t>Sommatoria del prodotto delle durate delle interruzioni annue (di durata maggiore o uguale ad 1 ora), per il rispettivo numero di utenti finali soggetti all'interruzione (compresi utenti indiretti)</t>
  </si>
  <si>
    <r>
      <t>N.B.: non è il prodotto di ∑U</t>
    </r>
    <r>
      <rPr>
        <vertAlign val="subscript"/>
        <sz val="10"/>
        <rFont val="Calibri"/>
        <family val="2"/>
        <scheme val="minor"/>
      </rPr>
      <t>I</t>
    </r>
    <r>
      <rPr>
        <sz val="10"/>
        <rFont val="Calibri"/>
        <family val="2"/>
        <scheme val="minor"/>
      </rPr>
      <t xml:space="preserve"> e ∑t</t>
    </r>
    <r>
      <rPr>
        <vertAlign val="subscript"/>
        <sz val="10"/>
        <rFont val="Calibri"/>
        <family val="2"/>
        <scheme val="minor"/>
      </rPr>
      <t>I</t>
    </r>
  </si>
  <si>
    <t>M2</t>
  </si>
  <si>
    <t>Interruzioni del servizio</t>
  </si>
  <si>
    <t xml:space="preserve">Vedere RQTI al comma 9.5 </t>
  </si>
  <si>
    <t>M2CL</t>
  </si>
  <si>
    <t>Interruzioni del servizio - Classe di appartenenza</t>
  </si>
  <si>
    <t>OB2</t>
  </si>
  <si>
    <t>Interruzioni del servizio - Obiettivo (M2)</t>
  </si>
  <si>
    <r>
      <t>W</t>
    </r>
    <r>
      <rPr>
        <vertAlign val="subscript"/>
        <sz val="11"/>
        <color indexed="8"/>
        <rFont val="Calibri"/>
        <family val="2"/>
        <scheme val="minor"/>
      </rPr>
      <t>max</t>
    </r>
  </si>
  <si>
    <t xml:space="preserve">Volume massimo derivabile dal sistema delle fonti di approvvigionamento nel giorno di massimo consumo dell'anno </t>
  </si>
  <si>
    <t>Volume necessario a soddisfare la domanda nel giorno di massimo consumo dell'anno</t>
  </si>
  <si>
    <t>G2.1</t>
  </si>
  <si>
    <t>Disponibilità di risorse idriche</t>
  </si>
  <si>
    <t>Dati relativi agli Standard Specifici</t>
  </si>
  <si>
    <r>
      <t>Ist</t>
    </r>
    <r>
      <rPr>
        <vertAlign val="subscript"/>
        <sz val="11"/>
        <color rgb="FF000000"/>
        <rFont val="Calibri"/>
        <family val="2"/>
        <scheme val="minor"/>
      </rPr>
      <t>D,Sp</t>
    </r>
  </si>
  <si>
    <t>Indicare se è stata formulata istanza per eventi imprevisti e imprevedibili che hanno comportato il mancato rispetto degli standard specifici S1 e/o S2 e/o S3</t>
  </si>
  <si>
    <r>
      <t>Ist</t>
    </r>
    <r>
      <rPr>
        <vertAlign val="subscript"/>
        <sz val="11"/>
        <color rgb="FF000000"/>
        <rFont val="Calibri"/>
        <family val="2"/>
        <scheme val="minor"/>
      </rPr>
      <t>E,Sp</t>
    </r>
  </si>
  <si>
    <t>Indicare se è stata formulata istanza per compromessa continuità gestionale a causa del mancato rispetto degli standard specifici S1 e/o S2 e/o S3</t>
  </si>
  <si>
    <r>
      <t>Int</t>
    </r>
    <r>
      <rPr>
        <vertAlign val="subscript"/>
        <sz val="11"/>
        <color indexed="8"/>
        <rFont val="Calibri"/>
        <family val="2"/>
        <scheme val="minor"/>
      </rPr>
      <t>tot,1h</t>
    </r>
  </si>
  <si>
    <t>Numero totale delle interruzioni avvenute nell'anno (di durata maggiore o uguale ad 1 ora)</t>
  </si>
  <si>
    <r>
      <t>Int</t>
    </r>
    <r>
      <rPr>
        <vertAlign val="subscript"/>
        <sz val="11"/>
        <color indexed="8"/>
        <rFont val="Calibri"/>
        <family val="2"/>
        <scheme val="minor"/>
      </rPr>
      <t>np</t>
    </r>
  </si>
  <si>
    <t>di cui numero di interruzioni non programmate</t>
  </si>
  <si>
    <r>
      <t>Int</t>
    </r>
    <r>
      <rPr>
        <vertAlign val="subscript"/>
        <sz val="11"/>
        <color indexed="8"/>
        <rFont val="Calibri"/>
        <family val="2"/>
        <scheme val="minor"/>
      </rPr>
      <t>p</t>
    </r>
  </si>
  <si>
    <t>di cui numero di interruzioni programmate</t>
  </si>
  <si>
    <r>
      <t>Int</t>
    </r>
    <r>
      <rPr>
        <vertAlign val="subscript"/>
        <sz val="11"/>
        <color indexed="8"/>
        <rFont val="Calibri"/>
        <family val="2"/>
        <scheme val="minor"/>
      </rPr>
      <t>p,S1</t>
    </r>
  </si>
  <si>
    <t xml:space="preserve">Vedere RQTI al comma 3.2 </t>
  </si>
  <si>
    <r>
      <t>Int</t>
    </r>
    <r>
      <rPr>
        <vertAlign val="subscript"/>
        <sz val="11"/>
        <color indexed="8"/>
        <rFont val="Calibri"/>
        <family val="2"/>
        <scheme val="minor"/>
      </rPr>
      <t>p,S3</t>
    </r>
  </si>
  <si>
    <t xml:space="preserve">Vedere RQTI al comma 3.4 </t>
  </si>
  <si>
    <r>
      <t>Int</t>
    </r>
    <r>
      <rPr>
        <vertAlign val="subscript"/>
        <sz val="11"/>
        <color indexed="8"/>
        <rFont val="Calibri"/>
        <family val="2"/>
        <scheme val="minor"/>
      </rPr>
      <t>em</t>
    </r>
  </si>
  <si>
    <t xml:space="preserve">Numero di interruzioni con attivazione del servizio sostitutivo di emergenza </t>
  </si>
  <si>
    <r>
      <t>Int</t>
    </r>
    <r>
      <rPr>
        <vertAlign val="subscript"/>
        <sz val="11"/>
        <color indexed="8"/>
        <rFont val="Calibri"/>
        <family val="2"/>
        <scheme val="minor"/>
      </rPr>
      <t>em,S2</t>
    </r>
  </si>
  <si>
    <r>
      <t>∑U</t>
    </r>
    <r>
      <rPr>
        <vertAlign val="subscript"/>
        <sz val="11"/>
        <color theme="1"/>
        <rFont val="Calibri"/>
        <family val="2"/>
        <scheme val="minor"/>
      </rPr>
      <t>S1</t>
    </r>
    <r>
      <rPr>
        <sz val="11"/>
        <color theme="1"/>
        <rFont val="Calibri"/>
        <family val="2"/>
        <scheme val="minor"/>
      </rPr>
      <t xml:space="preserve"> </t>
    </r>
    <r>
      <rPr>
        <sz val="11"/>
        <color theme="1"/>
        <rFont val="Calibri"/>
        <family val="2"/>
      </rPr>
      <t/>
    </r>
  </si>
  <si>
    <t>Sommatoria degli utenti finali (compresi utenti indiretti) con mancato rispetto dello standard specifico S1</t>
  </si>
  <si>
    <r>
      <t>∑U</t>
    </r>
    <r>
      <rPr>
        <vertAlign val="subscript"/>
        <sz val="11"/>
        <color theme="1"/>
        <rFont val="Calibri"/>
        <family val="2"/>
        <scheme val="minor"/>
      </rPr>
      <t>S2</t>
    </r>
    <r>
      <rPr>
        <sz val="11"/>
        <color theme="1"/>
        <rFont val="Calibri"/>
        <family val="2"/>
        <scheme val="minor"/>
      </rPr>
      <t xml:space="preserve"> </t>
    </r>
    <r>
      <rPr>
        <sz val="11"/>
        <color theme="1"/>
        <rFont val="Calibri"/>
        <family val="2"/>
      </rPr>
      <t/>
    </r>
  </si>
  <si>
    <t>Sommatoria degli utenti finali (compresi utenti indiretti) con mancato rispetto dello standard specifico S2</t>
  </si>
  <si>
    <r>
      <t>∑U</t>
    </r>
    <r>
      <rPr>
        <vertAlign val="subscript"/>
        <sz val="11"/>
        <color theme="1"/>
        <rFont val="Calibri"/>
        <family val="2"/>
        <scheme val="minor"/>
      </rPr>
      <t>S3</t>
    </r>
    <r>
      <rPr>
        <sz val="11"/>
        <color theme="1"/>
        <rFont val="Calibri"/>
        <family val="2"/>
        <scheme val="minor"/>
      </rPr>
      <t xml:space="preserve"> </t>
    </r>
    <r>
      <rPr>
        <sz val="11"/>
        <color theme="1"/>
        <rFont val="Calibri"/>
        <family val="2"/>
      </rPr>
      <t/>
    </r>
  </si>
  <si>
    <t>Sommatoria degli utenti finali (compresi utenti indiretti) con mancato rispetto dello standard specifico S3</t>
  </si>
  <si>
    <t>Calcolo del macro-indicatore M3</t>
  </si>
  <si>
    <r>
      <t>Ist</t>
    </r>
    <r>
      <rPr>
        <vertAlign val="subscript"/>
        <sz val="11"/>
        <color rgb="FF000000"/>
        <rFont val="Calibri"/>
        <family val="2"/>
        <scheme val="minor"/>
      </rPr>
      <t>D,M3</t>
    </r>
  </si>
  <si>
    <t>Indicare se è stata formulata istanza per eventi imprevisti e imprevedibili che hanno comportato il mancato rispetto degli obiettivi per M3</t>
  </si>
  <si>
    <r>
      <t>Tot</t>
    </r>
    <r>
      <rPr>
        <vertAlign val="subscript"/>
        <sz val="11"/>
        <color indexed="8"/>
        <rFont val="Calibri"/>
        <family val="2"/>
        <scheme val="minor"/>
      </rPr>
      <t>ord</t>
    </r>
  </si>
  <si>
    <t>Numero di ordinanze di non potabilità avvenute nell'anno</t>
  </si>
  <si>
    <t>∑Ui</t>
  </si>
  <si>
    <r>
      <t>Numero complessivo di utenti finali interessati da ordinanze di non potabilità nell'anno</t>
    </r>
    <r>
      <rPr>
        <sz val="11"/>
        <color theme="9" tint="-0.249977111117893"/>
        <rFont val="Calibri"/>
        <family val="2"/>
        <scheme val="minor"/>
      </rPr>
      <t xml:space="preserve"> </t>
    </r>
    <r>
      <rPr>
        <sz val="11"/>
        <rFont val="Calibri"/>
        <family val="2"/>
        <scheme val="minor"/>
      </rPr>
      <t>(compresi utenti indiretti)</t>
    </r>
  </si>
  <si>
    <t>Gli utenti interessati dalle ordinanze si contano tante volte quante sono le ordinanze</t>
  </si>
  <si>
    <t>∑ti</t>
  </si>
  <si>
    <t>Durata totale delle ordinanze di non potabilità avvenute nell'anno</t>
  </si>
  <si>
    <t>gg</t>
  </si>
  <si>
    <t>∑(Ui*ti)</t>
  </si>
  <si>
    <t>Sommatoria del prodotto del numero di utenze soggette all'i-esima ordinanza di non potabilità (compresi utenti indiretti) per la durata della medesima ordinanza di non potabilità</t>
  </si>
  <si>
    <t>N.B.: non è il prodotto di ∑Ui e ∑ti</t>
  </si>
  <si>
    <t>M3a</t>
  </si>
  <si>
    <t>Incidenza ordinanze di non potabilità</t>
  </si>
  <si>
    <t xml:space="preserve">Vedere RQTI al comma 11.2 </t>
  </si>
  <si>
    <r>
      <t xml:space="preserve"> C</t>
    </r>
    <r>
      <rPr>
        <vertAlign val="subscript"/>
        <sz val="11"/>
        <color indexed="8"/>
        <rFont val="Calibri"/>
        <family val="2"/>
        <scheme val="minor"/>
      </rPr>
      <t>ACQ-tot</t>
    </r>
  </si>
  <si>
    <t>M3b</t>
  </si>
  <si>
    <t>Tasso di campioni da controlli interni non conformi</t>
  </si>
  <si>
    <t xml:space="preserve">Vedere RQTI al comma 12.2 </t>
  </si>
  <si>
    <r>
      <t xml:space="preserve"> P</t>
    </r>
    <r>
      <rPr>
        <vertAlign val="subscript"/>
        <sz val="11"/>
        <color indexed="8"/>
        <rFont val="Calibri"/>
        <family val="2"/>
        <scheme val="minor"/>
      </rPr>
      <t>ACQ-tot</t>
    </r>
  </si>
  <si>
    <t>Numero parametri analizzati nei campioni (da controlli interni) effettuati in distribuzione a valle di eventuali impianti di potabilizzazione</t>
  </si>
  <si>
    <r>
      <t>P</t>
    </r>
    <r>
      <rPr>
        <vertAlign val="subscript"/>
        <sz val="11"/>
        <rFont val="Calibri"/>
        <family val="2"/>
        <scheme val="minor"/>
      </rPr>
      <t>ACQ-pnc</t>
    </r>
  </si>
  <si>
    <t>M3c</t>
  </si>
  <si>
    <t>Tasso di parametri da controlli interni non conformi</t>
  </si>
  <si>
    <t xml:space="preserve">Vedere RQTI al comma 13.2 </t>
  </si>
  <si>
    <t>M3CL</t>
  </si>
  <si>
    <t>Qualità dell'acqua erogata - Classe di appartenenza</t>
  </si>
  <si>
    <t>OB3</t>
  </si>
  <si>
    <t>Qualità dell'acqua erogata - Obiettivo</t>
  </si>
  <si>
    <t>G3.1</t>
  </si>
  <si>
    <t xml:space="preserve">Numero campioni (da controlli interni) effettuati in distribuzione a valle di eventuali impianti di potabilizzazione su volumi erogati </t>
  </si>
  <si>
    <t>G3.2</t>
  </si>
  <si>
    <t>Applicazione del modello Water Safety Plan (WSP)</t>
  </si>
  <si>
    <t>Vedere  RQTI al comma 10.5</t>
  </si>
  <si>
    <t>Numero di prese di utenza</t>
  </si>
  <si>
    <t>Lunghezza rete principale di adduzione e di distribuzione georeferenziata</t>
  </si>
  <si>
    <t xml:space="preserve">Escluse le derivazioni d’utenza </t>
  </si>
  <si>
    <t>Lunghezza rete sottoposta a ricerca perdite con tecniche acustiche o tecniche/tecnologie differenti aventi il medesimo scopo</t>
  </si>
  <si>
    <t>Estensione rete distrettualizzata telecontrollata</t>
  </si>
  <si>
    <t>Lunghezza complessiva condotte sostituite, incluse condotte sostituite o risanate con tecniche senza scavo</t>
  </si>
  <si>
    <t>Numero di rotture annue sulla rete di distribuzione principale</t>
  </si>
  <si>
    <t>Numero di utenze finali dotate di misuratore (esclusi utenti indiretti)</t>
  </si>
  <si>
    <t>Numero di utenze finali con dispositivi a bocca tarata (esclusi utenti indiretti)</t>
  </si>
  <si>
    <t>Numero di misuratori di utenza</t>
  </si>
  <si>
    <t>di cui con età ≤ 5 anni</t>
  </si>
  <si>
    <t xml:space="preserve">di cui con età 6-10 anni </t>
  </si>
  <si>
    <t>di cui con età 11-15 anni</t>
  </si>
  <si>
    <t>di cui con età &gt; 15 anni</t>
  </si>
  <si>
    <t>di cui con età &gt; 10 anni meccanici</t>
  </si>
  <si>
    <t>di cui con età &gt; 13 anni statici e venturimetrici</t>
  </si>
  <si>
    <r>
      <t>EE</t>
    </r>
    <r>
      <rPr>
        <vertAlign val="subscript"/>
        <sz val="11"/>
        <color indexed="8"/>
        <rFont val="Calibri"/>
        <family val="2"/>
        <scheme val="minor"/>
      </rPr>
      <t>ACQ</t>
    </r>
  </si>
  <si>
    <t>Consumo di energia elettrica per servizio di acquedotto, al netto dell'energia autoprodotta</t>
  </si>
  <si>
    <t>kWh</t>
  </si>
  <si>
    <r>
      <t>EE</t>
    </r>
    <r>
      <rPr>
        <vertAlign val="subscript"/>
        <sz val="11"/>
        <color indexed="8"/>
        <rFont val="Calibri"/>
        <family val="2"/>
        <scheme val="minor"/>
      </rPr>
      <t>AAI</t>
    </r>
  </si>
  <si>
    <t>Consumo di energia elettrica per Altre Attività Idriche (definizione rilevante ai sensi dell'unbundling)</t>
  </si>
  <si>
    <t>PRF</t>
  </si>
  <si>
    <t>Popolazione residente servita (PRF)</t>
  </si>
  <si>
    <t>PFF</t>
  </si>
  <si>
    <t>Popolazione fluttuante (PFF)</t>
  </si>
  <si>
    <t>Calcolo del macro-indicatore M4</t>
  </si>
  <si>
    <r>
      <t>Ist</t>
    </r>
    <r>
      <rPr>
        <vertAlign val="subscript"/>
        <sz val="11"/>
        <color rgb="FF000000"/>
        <rFont val="Calibri"/>
        <family val="2"/>
        <scheme val="minor"/>
      </rPr>
      <t>D,M4</t>
    </r>
  </si>
  <si>
    <t>Indicare se è stata formulata istanza per eventi imprevisti e imprevedibili che hanno comportato il mancato rispetto degli obiettivi per M4</t>
  </si>
  <si>
    <t>Lm</t>
  </si>
  <si>
    <t>Lunghezza totale della rete di fognatura mista (esclusi gli allacci)</t>
  </si>
  <si>
    <t>Lb</t>
  </si>
  <si>
    <t>Lunghezza totale della rete di fognatura bianca (esclusi gli allacci)</t>
  </si>
  <si>
    <t xml:space="preserve">Da considerare laddove ricompresa nel SII ai fini della determinazione dei corrispettivi </t>
  </si>
  <si>
    <t>Ln</t>
  </si>
  <si>
    <t>Lunghezza totale della rete di fognatura nera (esclusi gli allacci)</t>
  </si>
  <si>
    <t>Lf</t>
  </si>
  <si>
    <t>Lunghezza totale della rete fognaria principale (esclusi gli allacci)</t>
  </si>
  <si>
    <r>
      <t>All</t>
    </r>
    <r>
      <rPr>
        <vertAlign val="subscript"/>
        <sz val="11"/>
        <color theme="1"/>
        <rFont val="Calibri"/>
        <family val="2"/>
        <scheme val="minor"/>
      </rPr>
      <t>m</t>
    </r>
  </si>
  <si>
    <r>
      <rPr>
        <sz val="11"/>
        <rFont val="Calibri"/>
        <family val="2"/>
        <scheme val="minor"/>
      </rPr>
      <t>Numero di episodi di allagamento da fognatura mista che  hanno determinat</t>
    </r>
    <r>
      <rPr>
        <sz val="11"/>
        <color indexed="8"/>
        <rFont val="Calibri"/>
        <family val="2"/>
        <scheme val="minor"/>
      </rPr>
      <t>o situazioni di disagio o di pericolo</t>
    </r>
  </si>
  <si>
    <r>
      <t>All</t>
    </r>
    <r>
      <rPr>
        <vertAlign val="subscript"/>
        <sz val="11"/>
        <color theme="1"/>
        <rFont val="Calibri"/>
        <family val="2"/>
        <scheme val="minor"/>
      </rPr>
      <t>b</t>
    </r>
  </si>
  <si>
    <r>
      <rPr>
        <sz val="11"/>
        <rFont val="Calibri"/>
        <family val="2"/>
        <scheme val="minor"/>
      </rPr>
      <t>Numero di episodi di allagamento da fognatura bianca che hanno determinat</t>
    </r>
    <r>
      <rPr>
        <sz val="11"/>
        <color indexed="8"/>
        <rFont val="Calibri"/>
        <family val="2"/>
        <scheme val="minor"/>
      </rPr>
      <t>o situazioni di disagio o di pericolo</t>
    </r>
  </si>
  <si>
    <r>
      <t>Svers</t>
    </r>
    <r>
      <rPr>
        <vertAlign val="subscript"/>
        <sz val="11"/>
        <color theme="1"/>
        <rFont val="Calibri"/>
        <family val="2"/>
        <scheme val="minor"/>
      </rPr>
      <t>n</t>
    </r>
  </si>
  <si>
    <t>Numero di episodi di sversamento da fognatura nera</t>
  </si>
  <si>
    <t>M4a</t>
  </si>
  <si>
    <t>Frequenza allagamenti e/o sversamenti da fognatura</t>
  </si>
  <si>
    <t>n./100 km</t>
  </si>
  <si>
    <t>Vedere RQTI al comma 15.2</t>
  </si>
  <si>
    <r>
      <t>NScar</t>
    </r>
    <r>
      <rPr>
        <vertAlign val="subscript"/>
        <sz val="11"/>
        <color theme="1"/>
        <rFont val="Calibri"/>
        <family val="2"/>
        <scheme val="minor"/>
      </rPr>
      <t>tot</t>
    </r>
  </si>
  <si>
    <t xml:space="preserve">Numero totale di scaricatori di piena gestiti </t>
  </si>
  <si>
    <r>
      <t>Nscar</t>
    </r>
    <r>
      <rPr>
        <vertAlign val="subscript"/>
        <sz val="11"/>
        <color theme="1"/>
        <rFont val="Calibri"/>
        <family val="2"/>
        <scheme val="minor"/>
      </rPr>
      <t>norm</t>
    </r>
  </si>
  <si>
    <r>
      <t>Nscar</t>
    </r>
    <r>
      <rPr>
        <vertAlign val="subscript"/>
        <sz val="11"/>
        <color theme="1"/>
        <rFont val="Calibri"/>
        <family val="2"/>
        <scheme val="minor"/>
      </rPr>
      <t>rich</t>
    </r>
  </si>
  <si>
    <t>Numero di scaricatori di piena richiesti dall'Autorità competente e non ancora realizzati</t>
  </si>
  <si>
    <t>M4b</t>
  </si>
  <si>
    <t>Vedere RQTI al comma 16.2</t>
  </si>
  <si>
    <r>
      <t>Nscar</t>
    </r>
    <r>
      <rPr>
        <vertAlign val="subscript"/>
        <sz val="11"/>
        <color theme="1"/>
        <rFont val="Calibri"/>
        <family val="2"/>
        <scheme val="minor"/>
      </rPr>
      <t>ctrl</t>
    </r>
  </si>
  <si>
    <t>Numero di scaricatori soggetti ad ispezione e/o dotati di sistemi di rilevamento automatico delle attivazioni</t>
  </si>
  <si>
    <r>
      <t>Sono da contare 1 sola volta gli scaricatori con sistemi di rilevamento ed anche soggetti a ispezione (di conseguenza, non è la somma di Nscar</t>
    </r>
    <r>
      <rPr>
        <vertAlign val="subscript"/>
        <sz val="10"/>
        <rFont val="Calibri"/>
        <family val="2"/>
        <scheme val="minor"/>
      </rPr>
      <t>isp</t>
    </r>
    <r>
      <rPr>
        <sz val="10"/>
        <rFont val="Calibri"/>
        <family val="2"/>
        <scheme val="minor"/>
      </rPr>
      <t xml:space="preserve"> ed Nscar</t>
    </r>
    <r>
      <rPr>
        <vertAlign val="subscript"/>
        <sz val="10"/>
        <rFont val="Calibri"/>
        <family val="2"/>
        <scheme val="minor"/>
      </rPr>
      <t>ril</t>
    </r>
    <r>
      <rPr>
        <sz val="10"/>
        <rFont val="Calibri"/>
        <family val="2"/>
        <scheme val="minor"/>
      </rPr>
      <t>)</t>
    </r>
  </si>
  <si>
    <r>
      <t>Nscar</t>
    </r>
    <r>
      <rPr>
        <vertAlign val="subscript"/>
        <sz val="11"/>
        <color theme="1"/>
        <rFont val="Calibri"/>
        <family val="2"/>
        <scheme val="minor"/>
      </rPr>
      <t>isp</t>
    </r>
  </si>
  <si>
    <t>Numero di scaricatori soggetti ad ispezione nell'anno</t>
  </si>
  <si>
    <t>Uno scaricatore soggetto a più ispezioni nell'anno va conteggiato una sola volta</t>
  </si>
  <si>
    <r>
      <t>Nscar</t>
    </r>
    <r>
      <rPr>
        <vertAlign val="subscript"/>
        <sz val="11"/>
        <color theme="1"/>
        <rFont val="Calibri"/>
        <family val="2"/>
        <scheme val="minor"/>
      </rPr>
      <t>ril</t>
    </r>
  </si>
  <si>
    <t>Numero di scaricatori dotati di  sistemi di rilevamento automatico delle attivazioni</t>
  </si>
  <si>
    <t>M4c</t>
  </si>
  <si>
    <t>Vedere  RQTI al comma 17.2</t>
  </si>
  <si>
    <t>M4CL</t>
  </si>
  <si>
    <t>Adeguatezza del sistema fognario - Classe di appartenenza</t>
  </si>
  <si>
    <t>OB4</t>
  </si>
  <si>
    <t>Adeguatezza del sistema fognario - Obiettivo</t>
  </si>
  <si>
    <r>
      <t>Break</t>
    </r>
    <r>
      <rPr>
        <vertAlign val="subscript"/>
        <sz val="11"/>
        <color theme="1"/>
        <rFont val="Calibri"/>
        <family val="2"/>
        <scheme val="minor"/>
      </rPr>
      <t>FOG</t>
    </r>
  </si>
  <si>
    <t>Numero totale di rotture annue delle condotte di fognatura</t>
  </si>
  <si>
    <r>
      <t>L</t>
    </r>
    <r>
      <rPr>
        <vertAlign val="subscript"/>
        <sz val="11"/>
        <color theme="1"/>
        <rFont val="Calibri"/>
        <family val="2"/>
        <scheme val="minor"/>
      </rPr>
      <t>m-isp</t>
    </r>
  </si>
  <si>
    <t>Lunghezza totale della rete di fognatura mista (esclusi gli allacci) soggetta a ispezione</t>
  </si>
  <si>
    <r>
      <t>L</t>
    </r>
    <r>
      <rPr>
        <vertAlign val="subscript"/>
        <sz val="11"/>
        <color theme="1"/>
        <rFont val="Calibri"/>
        <family val="2"/>
        <scheme val="minor"/>
      </rPr>
      <t>m-visp</t>
    </r>
  </si>
  <si>
    <t>di cui soggetta a videoispezione</t>
  </si>
  <si>
    <r>
      <t>L</t>
    </r>
    <r>
      <rPr>
        <vertAlign val="subscript"/>
        <sz val="11"/>
        <color theme="1"/>
        <rFont val="Calibri"/>
        <family val="2"/>
        <scheme val="minor"/>
      </rPr>
      <t>b-isp</t>
    </r>
  </si>
  <si>
    <t xml:space="preserve">Lunghezza totale della rete di fognatura bianca (esclusi gli allacci) soggetta a ispezione </t>
  </si>
  <si>
    <r>
      <t>L</t>
    </r>
    <r>
      <rPr>
        <vertAlign val="subscript"/>
        <sz val="11"/>
        <color theme="1"/>
        <rFont val="Calibri"/>
        <family val="2"/>
        <scheme val="minor"/>
      </rPr>
      <t>b-visp</t>
    </r>
  </si>
  <si>
    <r>
      <t>L</t>
    </r>
    <r>
      <rPr>
        <vertAlign val="subscript"/>
        <sz val="11"/>
        <color theme="1"/>
        <rFont val="Calibri"/>
        <family val="2"/>
        <scheme val="minor"/>
      </rPr>
      <t>n-isp</t>
    </r>
  </si>
  <si>
    <t xml:space="preserve">Lunghezza totale della rete di fognatura nera (esclusi gli allacci) soggetta a ispezione </t>
  </si>
  <si>
    <r>
      <t>L</t>
    </r>
    <r>
      <rPr>
        <vertAlign val="subscript"/>
        <sz val="11"/>
        <color theme="1"/>
        <rFont val="Calibri"/>
        <family val="2"/>
        <scheme val="minor"/>
      </rPr>
      <t>n-visp</t>
    </r>
  </si>
  <si>
    <r>
      <t>Lf</t>
    </r>
    <r>
      <rPr>
        <b/>
        <vertAlign val="subscript"/>
        <sz val="11"/>
        <color theme="1"/>
        <rFont val="Calibri"/>
        <family val="2"/>
        <scheme val="minor"/>
      </rPr>
      <t>isp</t>
    </r>
  </si>
  <si>
    <t>Lunghezza totale della rete fognaria principale (esclusi gli allacci) soggetta ad ispezione</t>
  </si>
  <si>
    <t>G4.1</t>
  </si>
  <si>
    <t>Rotture annue di fognatura per chilometro di rete ispezionata</t>
  </si>
  <si>
    <t>Vedere RQTI al comma 14.4</t>
  </si>
  <si>
    <r>
      <t>N</t>
    </r>
    <r>
      <rPr>
        <vertAlign val="subscript"/>
        <sz val="11"/>
        <color theme="1"/>
        <rFont val="Calibri"/>
        <family val="2"/>
        <scheme val="minor"/>
      </rPr>
      <t>all,FOG</t>
    </r>
  </si>
  <si>
    <t>Numero di allacciamenti alla rete fognaria</t>
  </si>
  <si>
    <t>Lf,sos</t>
  </si>
  <si>
    <t>Esclusi gli allacci</t>
  </si>
  <si>
    <t>Lf,geo</t>
  </si>
  <si>
    <t>Lunghezza rete fognaria georeferenziata</t>
  </si>
  <si>
    <r>
      <t>UtT</t>
    </r>
    <r>
      <rPr>
        <vertAlign val="subscript"/>
        <sz val="11"/>
        <color indexed="8"/>
        <rFont val="Calibri"/>
        <family val="2"/>
        <scheme val="minor"/>
      </rPr>
      <t>FOG</t>
    </r>
  </si>
  <si>
    <t>Numero di utenti finali serviti dal gestore per il servizio di fognatura (esclusi utenti indiretti)</t>
  </si>
  <si>
    <r>
      <t>UtT</t>
    </r>
    <r>
      <rPr>
        <vertAlign val="subscript"/>
        <sz val="11"/>
        <color indexed="8"/>
        <rFont val="Calibri"/>
        <family val="2"/>
        <scheme val="minor"/>
      </rPr>
      <t>FOG,dnd</t>
    </r>
  </si>
  <si>
    <t xml:space="preserve">        di cui utenze domestiche e non domestiche assimilabili</t>
  </si>
  <si>
    <r>
      <t>UtT</t>
    </r>
    <r>
      <rPr>
        <vertAlign val="subscript"/>
        <sz val="11"/>
        <color indexed="8"/>
        <rFont val="Calibri"/>
        <family val="2"/>
        <scheme val="minor"/>
      </rPr>
      <t>FOG,ind</t>
    </r>
  </si>
  <si>
    <t xml:space="preserve">        di cui utenze industriali</t>
  </si>
  <si>
    <r>
      <t>UtT</t>
    </r>
    <r>
      <rPr>
        <vertAlign val="subscript"/>
        <sz val="11"/>
        <color indexed="8"/>
        <rFont val="Calibri"/>
        <family val="2"/>
        <scheme val="minor"/>
      </rPr>
      <t>FOG,ind,m</t>
    </r>
  </si>
  <si>
    <r>
      <t>UtT</t>
    </r>
    <r>
      <rPr>
        <vertAlign val="subscript"/>
        <sz val="11"/>
        <color indexed="8"/>
        <rFont val="Calibri"/>
        <family val="2"/>
        <scheme val="minor"/>
      </rPr>
      <t>FOG,ind,p</t>
    </r>
  </si>
  <si>
    <r>
      <t>UtT</t>
    </r>
    <r>
      <rPr>
        <vertAlign val="subscript"/>
        <sz val="11"/>
        <color indexed="8"/>
        <rFont val="Calibri"/>
        <family val="2"/>
        <scheme val="minor"/>
      </rPr>
      <t>FOG,ind,d</t>
    </r>
  </si>
  <si>
    <r>
      <t>UtT</t>
    </r>
    <r>
      <rPr>
        <vertAlign val="subscript"/>
        <sz val="11"/>
        <color indexed="8"/>
        <rFont val="Calibri"/>
        <family val="2"/>
        <scheme val="minor"/>
      </rPr>
      <t>cond,FOG</t>
    </r>
  </si>
  <si>
    <t>Numero di utenze condominiali servite dal gestore per il servizio di fognatura</t>
  </si>
  <si>
    <r>
      <t>UtT</t>
    </r>
    <r>
      <rPr>
        <vertAlign val="subscript"/>
        <sz val="11"/>
        <color indexed="8"/>
        <rFont val="Calibri"/>
        <family val="2"/>
        <scheme val="minor"/>
      </rPr>
      <t>indr,FOG</t>
    </r>
  </si>
  <si>
    <t>Numero di utenti indiretti sottesi alle utenze condominiali servite dal gestore per il servizio di fognatura</t>
  </si>
  <si>
    <t>Come da definizioni RQTI</t>
  </si>
  <si>
    <r>
      <t>U</t>
    </r>
    <r>
      <rPr>
        <vertAlign val="subscript"/>
        <sz val="11"/>
        <color rgb="FF000000"/>
        <rFont val="Calibri"/>
        <family val="2"/>
        <scheme val="minor"/>
      </rPr>
      <t>tot,FOG</t>
    </r>
  </si>
  <si>
    <t>Numero di utenti finali serviti dal gestore per il servizio di fognatura (compresi utenti indiretti)</t>
  </si>
  <si>
    <r>
      <t>Car</t>
    </r>
    <r>
      <rPr>
        <vertAlign val="subscript"/>
        <sz val="11"/>
        <color theme="1"/>
        <rFont val="Calibri"/>
        <family val="2"/>
        <scheme val="minor"/>
      </rPr>
      <t>gen</t>
    </r>
  </si>
  <si>
    <t>Totale carico inquinante delle acque reflue del territorio servito (carico generato)</t>
  </si>
  <si>
    <t>Carico biodegradabile generato nel territorio in cui è svolto il servizio di fognatura</t>
  </si>
  <si>
    <r>
      <t>Car</t>
    </r>
    <r>
      <rPr>
        <vertAlign val="subscript"/>
        <sz val="11"/>
        <color theme="1"/>
        <rFont val="Calibri"/>
        <family val="2"/>
        <scheme val="minor"/>
      </rPr>
      <t>gen,dnd</t>
    </r>
  </si>
  <si>
    <t>di cui di origine domestica o non domestica assimilabile</t>
  </si>
  <si>
    <r>
      <t>Car</t>
    </r>
    <r>
      <rPr>
        <vertAlign val="subscript"/>
        <sz val="11"/>
        <color theme="1"/>
        <rFont val="Calibri"/>
        <family val="2"/>
        <scheme val="minor"/>
      </rPr>
      <t>gen,ind</t>
    </r>
  </si>
  <si>
    <t>di cui di origine industriale</t>
  </si>
  <si>
    <r>
      <t>Car</t>
    </r>
    <r>
      <rPr>
        <vertAlign val="subscript"/>
        <sz val="11"/>
        <color theme="1"/>
        <rFont val="Calibri"/>
        <family val="2"/>
        <scheme val="minor"/>
      </rPr>
      <t>col</t>
    </r>
  </si>
  <si>
    <t>Totale carico inquinante delle acque reflue collettate in rete fognaria (carico collettato)</t>
  </si>
  <si>
    <t>Componente di carico biodegradabile generato nel territorio in cui è svolto il servizio di fognatura ed effettivamente collettato in fognatura</t>
  </si>
  <si>
    <r>
      <t>Car</t>
    </r>
    <r>
      <rPr>
        <vertAlign val="subscript"/>
        <sz val="11"/>
        <color theme="1"/>
        <rFont val="Calibri"/>
        <family val="2"/>
        <scheme val="minor"/>
      </rPr>
      <t>col,dnd</t>
    </r>
  </si>
  <si>
    <r>
      <t>Car</t>
    </r>
    <r>
      <rPr>
        <vertAlign val="subscript"/>
        <sz val="11"/>
        <color theme="1"/>
        <rFont val="Calibri"/>
        <family val="2"/>
        <scheme val="minor"/>
      </rPr>
      <t>col,ind</t>
    </r>
  </si>
  <si>
    <r>
      <t>EE</t>
    </r>
    <r>
      <rPr>
        <vertAlign val="subscript"/>
        <sz val="11"/>
        <color indexed="8"/>
        <rFont val="Calibri"/>
        <family val="2"/>
        <scheme val="minor"/>
      </rPr>
      <t>FOG</t>
    </r>
  </si>
  <si>
    <t>Consumo di energia elettrica per servizio di fognatura, al netto dell'energia autoprodotta</t>
  </si>
  <si>
    <t>PRD</t>
  </si>
  <si>
    <t>Popolazione residente servita</t>
  </si>
  <si>
    <t>PFD</t>
  </si>
  <si>
    <t>Popolazione fluttuante</t>
  </si>
  <si>
    <t>Calcolo del macro-indicatore M5</t>
  </si>
  <si>
    <r>
      <t>Ist</t>
    </r>
    <r>
      <rPr>
        <vertAlign val="subscript"/>
        <sz val="11"/>
        <color rgb="FF000000"/>
        <rFont val="Calibri"/>
        <family val="2"/>
        <scheme val="minor"/>
      </rPr>
      <t>D,M5</t>
    </r>
  </si>
  <si>
    <t>Indicare se è stata formulata istanza per eventi imprevisti e imprevedibili che hanno comportato il mancato rispetto degli obiettivi per M5</t>
  </si>
  <si>
    <r>
      <t>∑SS</t>
    </r>
    <r>
      <rPr>
        <vertAlign val="subscript"/>
        <sz val="11"/>
        <color rgb="FF000000"/>
        <rFont val="Calibri"/>
        <family val="2"/>
        <scheme val="minor"/>
      </rPr>
      <t>out,imp</t>
    </r>
  </si>
  <si>
    <t>t SS</t>
  </si>
  <si>
    <r>
      <t>∑SS</t>
    </r>
    <r>
      <rPr>
        <vertAlign val="subscript"/>
        <sz val="11"/>
        <color rgb="FF000000"/>
        <rFont val="Calibri"/>
        <family val="2"/>
        <scheme val="minor"/>
      </rPr>
      <t>disc,imp</t>
    </r>
  </si>
  <si>
    <t>di cui quantità complessiva di fanghi di depurazione destinati allo smaltimento finale in discarica</t>
  </si>
  <si>
    <r>
      <t>∑SS</t>
    </r>
    <r>
      <rPr>
        <vertAlign val="subscript"/>
        <sz val="11"/>
        <color rgb="FF000000"/>
        <rFont val="Calibri"/>
        <family val="2"/>
        <scheme val="minor"/>
      </rPr>
      <t>rec,imp</t>
    </r>
  </si>
  <si>
    <t>di cui quantità complessiva di fanghi di depurazione destinati al riutilizzo/recupero</t>
  </si>
  <si>
    <r>
      <t>∑SS</t>
    </r>
    <r>
      <rPr>
        <vertAlign val="subscript"/>
        <sz val="11"/>
        <color rgb="FF000000"/>
        <rFont val="Calibri"/>
        <family val="2"/>
        <scheme val="minor"/>
      </rPr>
      <t>rec,imp-a</t>
    </r>
  </si>
  <si>
    <t>di cui spandimento diretto in agricoltura</t>
  </si>
  <si>
    <r>
      <t>∑SS</t>
    </r>
    <r>
      <rPr>
        <vertAlign val="subscript"/>
        <sz val="11"/>
        <color rgb="FF000000"/>
        <rFont val="Calibri"/>
        <family val="2"/>
        <scheme val="minor"/>
      </rPr>
      <t>rec,imp-c</t>
    </r>
  </si>
  <si>
    <t>di cui per produzione di compost</t>
  </si>
  <si>
    <r>
      <t>∑SS</t>
    </r>
    <r>
      <rPr>
        <vertAlign val="subscript"/>
        <sz val="11"/>
        <color rgb="FF000000"/>
        <rFont val="Calibri"/>
        <family val="2"/>
        <scheme val="minor"/>
      </rPr>
      <t>rec,imp-t</t>
    </r>
  </si>
  <si>
    <t>di cui in termovalorizzatori</t>
  </si>
  <si>
    <r>
      <t>∑SS</t>
    </r>
    <r>
      <rPr>
        <vertAlign val="subscript"/>
        <sz val="11"/>
        <color rgb="FF000000"/>
        <rFont val="Calibri"/>
        <family val="2"/>
        <scheme val="minor"/>
      </rPr>
      <t>rec,imp-al</t>
    </r>
  </si>
  <si>
    <t>di cui altro</t>
  </si>
  <si>
    <r>
      <t>∑MF</t>
    </r>
    <r>
      <rPr>
        <vertAlign val="subscript"/>
        <sz val="11"/>
        <color rgb="FF000000"/>
        <rFont val="Calibri"/>
        <family val="2"/>
        <scheme val="minor"/>
      </rPr>
      <t>tq,out,imp</t>
    </r>
  </si>
  <si>
    <t xml:space="preserve">Quantità complessiva di fanghi di depurazione tal quali in uscita dagli impianti </t>
  </si>
  <si>
    <t>t</t>
  </si>
  <si>
    <r>
      <t>∑MF</t>
    </r>
    <r>
      <rPr>
        <vertAlign val="subscript"/>
        <sz val="11"/>
        <color rgb="FF000000"/>
        <rFont val="Calibri"/>
        <family val="2"/>
        <scheme val="minor"/>
      </rPr>
      <t>tq,disc,imp</t>
    </r>
  </si>
  <si>
    <t>Quantità complessiva di fanghi di depurazione tal quali destinati allo smaltimento finale in discarica</t>
  </si>
  <si>
    <r>
      <t>%SS</t>
    </r>
    <r>
      <rPr>
        <b/>
        <vertAlign val="subscript"/>
        <sz val="11"/>
        <color rgb="FF000000"/>
        <rFont val="Calibri"/>
        <family val="2"/>
        <scheme val="minor"/>
      </rPr>
      <t>tot</t>
    </r>
  </si>
  <si>
    <t>Percentuale di sostanza secca mediamente contenuta nel quantitativo di fanghi complessivamente prodotto</t>
  </si>
  <si>
    <t>M5</t>
  </si>
  <si>
    <t>Smaltimento fanghi in discarica</t>
  </si>
  <si>
    <t xml:space="preserve">Vedere RQTI al comma 18.4 </t>
  </si>
  <si>
    <t>M5CL</t>
  </si>
  <si>
    <t>Smaltimento fanghi in discarica - Classe di appartenenza</t>
  </si>
  <si>
    <t>OB5</t>
  </si>
  <si>
    <t>Smaltimento fanghi in discarica  - Obiettivo</t>
  </si>
  <si>
    <t>Numero agglomerati individuati nel territorio gestito</t>
  </si>
  <si>
    <t xml:space="preserve">Vedere RQTI al comma 18.7 </t>
  </si>
  <si>
    <t>G5.1</t>
  </si>
  <si>
    <r>
      <t>UtT</t>
    </r>
    <r>
      <rPr>
        <vertAlign val="subscript"/>
        <sz val="11"/>
        <color indexed="8"/>
        <rFont val="Calibri"/>
        <family val="2"/>
        <scheme val="minor"/>
      </rPr>
      <t>DEP</t>
    </r>
  </si>
  <si>
    <t>Numero di utenti finali serviti dal gestore per il servizio di depurazione (esclusi utenti indiretti)</t>
  </si>
  <si>
    <r>
      <t>UtT</t>
    </r>
    <r>
      <rPr>
        <vertAlign val="subscript"/>
        <sz val="11"/>
        <color indexed="8"/>
        <rFont val="Calibri"/>
        <family val="2"/>
        <scheme val="minor"/>
      </rPr>
      <t>DEP,dnd</t>
    </r>
  </si>
  <si>
    <t>di cui di origine domestica o assimilabile</t>
  </si>
  <si>
    <r>
      <t>UtT</t>
    </r>
    <r>
      <rPr>
        <vertAlign val="subscript"/>
        <sz val="11"/>
        <color indexed="8"/>
        <rFont val="Calibri"/>
        <family val="2"/>
        <scheme val="minor"/>
      </rPr>
      <t>DEP,ind</t>
    </r>
  </si>
  <si>
    <r>
      <t>UtT</t>
    </r>
    <r>
      <rPr>
        <vertAlign val="subscript"/>
        <sz val="11"/>
        <color indexed="8"/>
        <rFont val="Calibri"/>
        <family val="2"/>
        <scheme val="minor"/>
      </rPr>
      <t>cond,DEP</t>
    </r>
  </si>
  <si>
    <t>Numero di utenze condominiali servite dal gestore per il servizio di depurazione</t>
  </si>
  <si>
    <r>
      <t>UtT</t>
    </r>
    <r>
      <rPr>
        <vertAlign val="subscript"/>
        <sz val="11"/>
        <color indexed="8"/>
        <rFont val="Calibri"/>
        <family val="2"/>
        <scheme val="minor"/>
      </rPr>
      <t>indr,DEP</t>
    </r>
  </si>
  <si>
    <t>Numero di utenti indiretti sottesi alle utenze condominiali servite dal gestore per il servizio di depurazione</t>
  </si>
  <si>
    <r>
      <t>U</t>
    </r>
    <r>
      <rPr>
        <b/>
        <vertAlign val="subscript"/>
        <sz val="11"/>
        <color rgb="FF000000"/>
        <rFont val="Calibri"/>
        <family val="2"/>
        <scheme val="minor"/>
      </rPr>
      <t>tot,DEP</t>
    </r>
  </si>
  <si>
    <t>Numero di utenti finali serviti dal gestore per il servizio di depurazione (compresi utenti indiretti)</t>
  </si>
  <si>
    <r>
      <t>Gest</t>
    </r>
    <r>
      <rPr>
        <vertAlign val="subscript"/>
        <sz val="11"/>
        <color rgb="FF000000"/>
        <rFont val="Calibri"/>
        <family val="2"/>
        <scheme val="minor"/>
      </rPr>
      <t>SII</t>
    </r>
  </si>
  <si>
    <t>Il gestore gestisce in maniera integrata i servizi di distribuzione per l'acquedotto, di fognatura e di depurazione in tutti i Comuni serviti?</t>
  </si>
  <si>
    <t xml:space="preserve">Vedere RQTI al comma 18.8 </t>
  </si>
  <si>
    <r>
      <t>N</t>
    </r>
    <r>
      <rPr>
        <vertAlign val="subscript"/>
        <sz val="11"/>
        <color rgb="FF000000"/>
        <rFont val="Calibri"/>
        <family val="2"/>
        <scheme val="minor"/>
      </rPr>
      <t>Com,SII</t>
    </r>
  </si>
  <si>
    <t>Se "prevalentemente", in quanti Comuni il servizio è integrato?</t>
  </si>
  <si>
    <t>Se  "prevalentemente", indicare il numero di utenti finali serviti dal gestore (compresi utenti indiretti) nei Comuni in cui vengono forniti entrambi i servizi seguenti:</t>
  </si>
  <si>
    <r>
      <t>U</t>
    </r>
    <r>
      <rPr>
        <vertAlign val="subscript"/>
        <sz val="11"/>
        <color rgb="FF000000"/>
        <rFont val="Calibri"/>
        <family val="2"/>
        <scheme val="minor"/>
      </rPr>
      <t>tot,dist,SII</t>
    </r>
  </si>
  <si>
    <t xml:space="preserve">      - distribuzione di acquedotto</t>
  </si>
  <si>
    <r>
      <t>U</t>
    </r>
    <r>
      <rPr>
        <vertAlign val="subscript"/>
        <sz val="11"/>
        <color rgb="FF000000"/>
        <rFont val="Calibri"/>
        <family val="2"/>
        <scheme val="minor"/>
      </rPr>
      <t>tot,DEP,SII</t>
    </r>
  </si>
  <si>
    <t xml:space="preserve">      - depurazione</t>
  </si>
  <si>
    <t>G5.2</t>
  </si>
  <si>
    <t>Copertura del servizio di depurazione rispetto all'utenza servita da acquedotto</t>
  </si>
  <si>
    <r>
      <t>EN</t>
    </r>
    <r>
      <rPr>
        <vertAlign val="subscript"/>
        <sz val="11"/>
        <color rgb="FF000000"/>
        <rFont val="Calibri"/>
        <family val="2"/>
        <scheme val="minor"/>
      </rPr>
      <t>DEP</t>
    </r>
  </si>
  <si>
    <t xml:space="preserve">Consumo energetico negli impianti di depurazione </t>
  </si>
  <si>
    <t>tep</t>
  </si>
  <si>
    <t>Da compilare con riferimento a tutte le fonti di energia, non solo quella elettrica</t>
  </si>
  <si>
    <r>
      <t>EN</t>
    </r>
    <r>
      <rPr>
        <vertAlign val="subscript"/>
        <sz val="11"/>
        <color rgb="FF000000"/>
        <rFont val="Calibri"/>
        <family val="2"/>
        <scheme val="minor"/>
      </rPr>
      <t>DEP,au</t>
    </r>
  </si>
  <si>
    <t>Energia autoprodotta da cogenerazione nella fase di digestione anaerobica dei fanghi</t>
  </si>
  <si>
    <t>G5.3</t>
  </si>
  <si>
    <t>Impronta di carbonio del servizio di depurazione</t>
  </si>
  <si>
    <t>t CO2,eq</t>
  </si>
  <si>
    <t>Calcolo del macro-indicatore M6</t>
  </si>
  <si>
    <r>
      <t>Ist</t>
    </r>
    <r>
      <rPr>
        <vertAlign val="subscript"/>
        <sz val="11"/>
        <color rgb="FF000000"/>
        <rFont val="Calibri"/>
        <family val="2"/>
        <scheme val="minor"/>
      </rPr>
      <t>D,M6</t>
    </r>
  </si>
  <si>
    <t xml:space="preserve">Indicare se è stata formulata istanza per eventi imprevisti e imprevedibili che hanno comportato il mancato rispetto degli obiettivi per M6 </t>
  </si>
  <si>
    <t>Ndep</t>
  </si>
  <si>
    <t xml:space="preserve">Numero complessivo di impianti di depurazione (incluse vasche Imhoff) </t>
  </si>
  <si>
    <r>
      <t>Ndep</t>
    </r>
    <r>
      <rPr>
        <vertAlign val="subscript"/>
        <sz val="11"/>
        <color rgb="FF000000"/>
        <rFont val="Calibri"/>
        <family val="2"/>
        <scheme val="minor"/>
      </rPr>
      <t>2000</t>
    </r>
  </si>
  <si>
    <t>di cui di potenzialità pari o superiore a 2.000 AE</t>
  </si>
  <si>
    <r>
      <t>Ndep</t>
    </r>
    <r>
      <rPr>
        <vertAlign val="subscript"/>
        <sz val="11"/>
        <color rgb="FF000000"/>
        <rFont val="Calibri"/>
        <family val="2"/>
        <scheme val="minor"/>
      </rPr>
      <t>cost</t>
    </r>
  </si>
  <si>
    <t>di cui inferiori ai 10.000 AE se recapitanti in acque costiere</t>
  </si>
  <si>
    <t>N*</t>
  </si>
  <si>
    <t>Numero complessivo di impianti di depurazione soggetti a M6</t>
  </si>
  <si>
    <r>
      <t>N.B. la differenza tra Ndep</t>
    </r>
    <r>
      <rPr>
        <vertAlign val="subscript"/>
        <sz val="10"/>
        <rFont val="Calibri"/>
        <family val="2"/>
        <scheme val="minor"/>
      </rPr>
      <t>2000</t>
    </r>
    <r>
      <rPr>
        <sz val="10"/>
        <rFont val="Calibri"/>
        <family val="2"/>
        <scheme val="minor"/>
      </rPr>
      <t xml:space="preserve"> ed Ndep</t>
    </r>
    <r>
      <rPr>
        <vertAlign val="subscript"/>
        <sz val="10"/>
        <rFont val="Calibri"/>
        <family val="2"/>
        <scheme val="minor"/>
      </rPr>
      <t xml:space="preserve">cost </t>
    </r>
    <r>
      <rPr>
        <sz val="10"/>
        <rFont val="Calibri"/>
        <family val="2"/>
        <scheme val="minor"/>
      </rPr>
      <t>rappresenta l'insieme degli impianti considerati per il calcolo di M6</t>
    </r>
  </si>
  <si>
    <r>
      <t>N*</t>
    </r>
    <r>
      <rPr>
        <vertAlign val="subscript"/>
        <sz val="11"/>
        <rFont val="Calibri"/>
        <family val="2"/>
        <scheme val="minor"/>
      </rPr>
      <t>Tab2</t>
    </r>
  </si>
  <si>
    <r>
      <t>N*</t>
    </r>
    <r>
      <rPr>
        <vertAlign val="subscript"/>
        <sz val="11"/>
        <rFont val="Calibri"/>
        <family val="2"/>
        <scheme val="minor"/>
      </rPr>
      <t>Tab4</t>
    </r>
  </si>
  <si>
    <r>
      <t>N*</t>
    </r>
    <r>
      <rPr>
        <vertAlign val="subscript"/>
        <sz val="11"/>
        <rFont val="Calibri"/>
        <family val="2"/>
        <scheme val="minor"/>
      </rPr>
      <t>Tab3</t>
    </r>
  </si>
  <si>
    <r>
      <t>∑C</t>
    </r>
    <r>
      <rPr>
        <vertAlign val="subscript"/>
        <sz val="11"/>
        <color rgb="FF000000"/>
        <rFont val="Calibri"/>
        <family val="2"/>
        <scheme val="minor"/>
      </rPr>
      <t>imp,DEP-tot</t>
    </r>
  </si>
  <si>
    <r>
      <t>∑C</t>
    </r>
    <r>
      <rPr>
        <vertAlign val="subscript"/>
        <sz val="11"/>
        <color rgb="FF000000"/>
        <rFont val="Calibri"/>
        <family val="2"/>
        <scheme val="minor"/>
      </rPr>
      <t>imp,DEP-cnc</t>
    </r>
  </si>
  <si>
    <r>
      <t>∑C</t>
    </r>
    <r>
      <rPr>
        <vertAlign val="subscript"/>
        <sz val="11"/>
        <color rgb="FF000000"/>
        <rFont val="Calibri"/>
        <family val="2"/>
        <scheme val="minor"/>
      </rPr>
      <t>imp,DEP-cnc,T1</t>
    </r>
  </si>
  <si>
    <r>
      <t>∑C</t>
    </r>
    <r>
      <rPr>
        <vertAlign val="subscript"/>
        <sz val="11"/>
        <color rgb="FF000000"/>
        <rFont val="Calibri"/>
        <family val="2"/>
        <scheme val="minor"/>
      </rPr>
      <t>imp,DEP-cnc,T2</t>
    </r>
  </si>
  <si>
    <r>
      <t>∑C</t>
    </r>
    <r>
      <rPr>
        <vertAlign val="subscript"/>
        <sz val="11"/>
        <color rgb="FF000000"/>
        <rFont val="Calibri"/>
        <family val="2"/>
        <scheme val="minor"/>
      </rPr>
      <t>imp,DEP-cnc,T1-2</t>
    </r>
  </si>
  <si>
    <r>
      <t>∑C</t>
    </r>
    <r>
      <rPr>
        <vertAlign val="subscript"/>
        <sz val="11"/>
        <color rgb="FF000000"/>
        <rFont val="Calibri"/>
        <family val="2"/>
        <scheme val="minor"/>
      </rPr>
      <t>imp,DEP-cnc,T4</t>
    </r>
  </si>
  <si>
    <t>M6</t>
  </si>
  <si>
    <t>Qualità dell'acqua depurata</t>
  </si>
  <si>
    <t xml:space="preserve">Vedere RQTI al comma 19.5 </t>
  </si>
  <si>
    <t>M6CL</t>
  </si>
  <si>
    <t>Qualità dell'acqua depurata - Classe di appartenenza</t>
  </si>
  <si>
    <t>OB6</t>
  </si>
  <si>
    <t>Qualità dell'acqua depurata  - Obiettivo</t>
  </si>
  <si>
    <t>G6.1</t>
  </si>
  <si>
    <t>Qualità dell'acqua depurata - esteso</t>
  </si>
  <si>
    <t xml:space="preserve">Vedere RQTI al comma 19.6 </t>
  </si>
  <si>
    <t>G6.2</t>
  </si>
  <si>
    <t>Numerosità dei campionamenti eseguiti</t>
  </si>
  <si>
    <r>
      <t>∑P</t>
    </r>
    <r>
      <rPr>
        <vertAlign val="subscript"/>
        <sz val="11"/>
        <color rgb="FF000000"/>
        <rFont val="Calibri"/>
        <family val="2"/>
        <scheme val="minor"/>
      </rPr>
      <t>imp,DEP-tot</t>
    </r>
  </si>
  <si>
    <r>
      <t>∑P</t>
    </r>
    <r>
      <rPr>
        <vertAlign val="subscript"/>
        <sz val="11"/>
        <color rgb="FF000000"/>
        <rFont val="Calibri"/>
        <family val="2"/>
        <scheme val="minor"/>
      </rPr>
      <t>imp,DEP-pnc</t>
    </r>
  </si>
  <si>
    <t>G6.3</t>
  </si>
  <si>
    <t>Tasso di parametri risultati oltre i limiti</t>
  </si>
  <si>
    <t xml:space="preserve">Vedere RQTI al comma 19.7 </t>
  </si>
  <si>
    <t>Numero complessivo di impianti di depurazione (incluse vasche Imhoff)</t>
  </si>
  <si>
    <r>
      <t>Ndep</t>
    </r>
    <r>
      <rPr>
        <vertAlign val="subscript"/>
        <sz val="11"/>
        <color rgb="FF000000"/>
        <rFont val="Calibri"/>
        <family val="2"/>
        <scheme val="minor"/>
      </rPr>
      <t>0</t>
    </r>
  </si>
  <si>
    <t>di cui vasche Imhoff</t>
  </si>
  <si>
    <r>
      <t>Ndep</t>
    </r>
    <r>
      <rPr>
        <vertAlign val="subscript"/>
        <sz val="11"/>
        <color rgb="FF000000"/>
        <rFont val="Calibri"/>
        <family val="2"/>
        <scheme val="minor"/>
      </rPr>
      <t>1</t>
    </r>
  </si>
  <si>
    <t>di cui con trattamento sino al primario</t>
  </si>
  <si>
    <r>
      <t>Ndep</t>
    </r>
    <r>
      <rPr>
        <vertAlign val="subscript"/>
        <sz val="11"/>
        <color rgb="FF000000"/>
        <rFont val="Calibri"/>
        <family val="2"/>
        <scheme val="minor"/>
      </rPr>
      <t>2</t>
    </r>
  </si>
  <si>
    <t>di cui con trattamento sino al secondario</t>
  </si>
  <si>
    <r>
      <t>Ndep</t>
    </r>
    <r>
      <rPr>
        <vertAlign val="subscript"/>
        <sz val="11"/>
        <color rgb="FF000000"/>
        <rFont val="Calibri"/>
        <family val="2"/>
        <scheme val="minor"/>
      </rPr>
      <t>3</t>
    </r>
  </si>
  <si>
    <t>di cui con trattamento sino al terziario</t>
  </si>
  <si>
    <r>
      <t>Ndep</t>
    </r>
    <r>
      <rPr>
        <vertAlign val="subscript"/>
        <sz val="11"/>
        <color rgb="FF000000"/>
        <rFont val="Calibri"/>
        <family val="2"/>
        <scheme val="minor"/>
      </rPr>
      <t>4</t>
    </r>
  </si>
  <si>
    <r>
      <t>Car</t>
    </r>
    <r>
      <rPr>
        <vertAlign val="subscript"/>
        <sz val="11"/>
        <color theme="1"/>
        <rFont val="Calibri"/>
        <family val="2"/>
        <scheme val="minor"/>
      </rPr>
      <t>gen_dep</t>
    </r>
  </si>
  <si>
    <t>Totale carico inquinante delle acque reflue del territorio gestito (carico generato)</t>
  </si>
  <si>
    <r>
      <t>Car</t>
    </r>
    <r>
      <rPr>
        <vertAlign val="subscript"/>
        <sz val="11"/>
        <color rgb="FF000000"/>
        <rFont val="Calibri"/>
        <family val="2"/>
        <scheme val="minor"/>
      </rPr>
      <t>dep</t>
    </r>
  </si>
  <si>
    <t xml:space="preserve">Totale carico inquinante collettato in rete fognaria e depurato in impianti di trattamento di acque reflue urbane incluse vasche Imhoff </t>
  </si>
  <si>
    <r>
      <t>Car</t>
    </r>
    <r>
      <rPr>
        <vertAlign val="subscript"/>
        <sz val="11"/>
        <color rgb="FF000000"/>
        <rFont val="Calibri"/>
        <family val="2"/>
        <scheme val="minor"/>
      </rPr>
      <t>dep,dnd</t>
    </r>
  </si>
  <si>
    <r>
      <t>Car</t>
    </r>
    <r>
      <rPr>
        <vertAlign val="subscript"/>
        <sz val="11"/>
        <color rgb="FF000000"/>
        <rFont val="Calibri"/>
        <family val="2"/>
        <scheme val="minor"/>
      </rPr>
      <t>dep,ind</t>
    </r>
  </si>
  <si>
    <t>di cui origine industriale</t>
  </si>
  <si>
    <r>
      <t>Car</t>
    </r>
    <r>
      <rPr>
        <vertAlign val="subscript"/>
        <sz val="11"/>
        <color rgb="FF000000"/>
        <rFont val="Calibri"/>
        <family val="2"/>
        <scheme val="minor"/>
      </rPr>
      <t>dep0</t>
    </r>
  </si>
  <si>
    <t>di cui confluito in vasche Imhoff</t>
  </si>
  <si>
    <r>
      <t>Car</t>
    </r>
    <r>
      <rPr>
        <vertAlign val="subscript"/>
        <sz val="11"/>
        <color rgb="FF000000"/>
        <rFont val="Calibri"/>
        <family val="2"/>
        <scheme val="minor"/>
      </rPr>
      <t>dep1</t>
    </r>
  </si>
  <si>
    <t>di cui confluito in trattamenti sino ai primari</t>
  </si>
  <si>
    <r>
      <t>Car</t>
    </r>
    <r>
      <rPr>
        <vertAlign val="subscript"/>
        <sz val="11"/>
        <color rgb="FF000000"/>
        <rFont val="Calibri"/>
        <family val="2"/>
        <scheme val="minor"/>
      </rPr>
      <t>dep2</t>
    </r>
  </si>
  <si>
    <t>di cui confluito in trattamenti sino ai secondari</t>
  </si>
  <si>
    <r>
      <t>Car</t>
    </r>
    <r>
      <rPr>
        <vertAlign val="subscript"/>
        <sz val="11"/>
        <color rgb="FF000000"/>
        <rFont val="Calibri"/>
        <family val="2"/>
        <scheme val="minor"/>
      </rPr>
      <t>dep3</t>
    </r>
  </si>
  <si>
    <t>di cui confluito in trattamenti sino ai terziari</t>
  </si>
  <si>
    <t>Volume totale reflui depurati in uscita dalla depurazione</t>
  </si>
  <si>
    <r>
      <t>W</t>
    </r>
    <r>
      <rPr>
        <vertAlign val="subscript"/>
        <sz val="11"/>
        <color rgb="FF000000"/>
        <rFont val="Calibri"/>
        <family val="2"/>
        <scheme val="minor"/>
      </rPr>
      <t>DEP,r1</t>
    </r>
  </si>
  <si>
    <t>di cui destinabile al riutilizzo</t>
  </si>
  <si>
    <r>
      <t>W</t>
    </r>
    <r>
      <rPr>
        <vertAlign val="subscript"/>
        <sz val="11"/>
        <color rgb="FF000000"/>
        <rFont val="Calibri"/>
        <family val="2"/>
        <scheme val="minor"/>
      </rPr>
      <t>DEP,r2</t>
    </r>
  </si>
  <si>
    <t>di cui destinato al riutilizzo</t>
  </si>
  <si>
    <r>
      <t>EE</t>
    </r>
    <r>
      <rPr>
        <vertAlign val="subscript"/>
        <sz val="11"/>
        <color indexed="8"/>
        <rFont val="Calibri"/>
        <family val="2"/>
        <scheme val="minor"/>
      </rPr>
      <t>DEP</t>
    </r>
  </si>
  <si>
    <t>Consumo di energia elettrica per servizio di depurazione, al netto dell'energia autoprodotta</t>
  </si>
  <si>
    <t>Vedere RQTI, Art.20</t>
  </si>
  <si>
    <t>Valutazione prerequisiti e indicazione istanze presentate per M2</t>
  </si>
  <si>
    <t>Indicazione istanze presentate per Standard Specifici</t>
  </si>
  <si>
    <t>Numero minimo di campioni (da controlli interni) che il gestore è tenuto a eseguire nell'anno</t>
  </si>
  <si>
    <t xml:space="preserve">Numero campioni (da controlli interni) che il gestore ha eseguito nell'anno </t>
  </si>
  <si>
    <t>di cui con misuratori accessibili</t>
  </si>
  <si>
    <t>di cui con misuratori parzialmente accessibili</t>
  </si>
  <si>
    <t>di cui con misuratori non accessibili</t>
  </si>
  <si>
    <t>di cui andati a buon fine</t>
  </si>
  <si>
    <t>di cui con misura validata</t>
  </si>
  <si>
    <t>Adeguato</t>
  </si>
  <si>
    <t>Non adeguato</t>
  </si>
  <si>
    <r>
      <t>Agg</t>
    </r>
    <r>
      <rPr>
        <vertAlign val="subscript"/>
        <sz val="11"/>
        <rFont val="Calibri"/>
        <family val="2"/>
        <scheme val="minor"/>
      </rPr>
      <t>cond,FOG</t>
    </r>
  </si>
  <si>
    <r>
      <t>AE</t>
    </r>
    <r>
      <rPr>
        <vertAlign val="subscript"/>
        <sz val="11"/>
        <rFont val="Calibri"/>
        <family val="2"/>
        <scheme val="minor"/>
      </rPr>
      <t>cond,FOG</t>
    </r>
  </si>
  <si>
    <r>
      <t>Agg</t>
    </r>
    <r>
      <rPr>
        <vertAlign val="subscript"/>
        <sz val="11"/>
        <rFont val="Calibri"/>
        <family val="2"/>
        <scheme val="minor"/>
      </rPr>
      <t>cond,DEP</t>
    </r>
  </si>
  <si>
    <r>
      <t>AE</t>
    </r>
    <r>
      <rPr>
        <vertAlign val="subscript"/>
        <sz val="11"/>
        <rFont val="Calibri"/>
        <family val="2"/>
        <scheme val="minor"/>
      </rPr>
      <t>cond,DEP</t>
    </r>
  </si>
  <si>
    <r>
      <t>EN</t>
    </r>
    <r>
      <rPr>
        <vertAlign val="subscript"/>
        <sz val="11"/>
        <color rgb="FF000000"/>
        <rFont val="Calibri"/>
        <family val="2"/>
        <scheme val="minor"/>
      </rPr>
      <t>DEP,ess</t>
    </r>
  </si>
  <si>
    <t>di cui per sezione di essiccamento fanghi</t>
  </si>
  <si>
    <r>
      <t>EE</t>
    </r>
    <r>
      <rPr>
        <vertAlign val="subscript"/>
        <sz val="11"/>
        <color rgb="FF000000"/>
        <rFont val="Calibri"/>
        <family val="2"/>
        <scheme val="minor"/>
      </rPr>
      <t>DEP,ess</t>
    </r>
  </si>
  <si>
    <t>UtTmis</t>
  </si>
  <si>
    <t>UtTmis_acc</t>
  </si>
  <si>
    <t>UtTmis_pacc</t>
  </si>
  <si>
    <t>UtTmis_nacc</t>
  </si>
  <si>
    <t>UtTbt</t>
  </si>
  <si>
    <t>Racc3000</t>
  </si>
  <si>
    <t>Racc3000_eff</t>
  </si>
  <si>
    <t>Racc3000_val</t>
  </si>
  <si>
    <t>Al3000</t>
  </si>
  <si>
    <t>Al3000_val</t>
  </si>
  <si>
    <t>Racc3000+</t>
  </si>
  <si>
    <t>Racc3000+_eff</t>
  </si>
  <si>
    <t>Racc3000+_val</t>
  </si>
  <si>
    <t>Al3000+</t>
  </si>
  <si>
    <t>Al3000+_val</t>
  </si>
  <si>
    <t>Misut</t>
  </si>
  <si>
    <t>Misut,5</t>
  </si>
  <si>
    <t>Misut,5-10</t>
  </si>
  <si>
    <t>Misut,10-15</t>
  </si>
  <si>
    <t>Misut,15</t>
  </si>
  <si>
    <t>Misut,10m</t>
  </si>
  <si>
    <t>Misut,13sv</t>
  </si>
  <si>
    <t>Preq1</t>
  </si>
  <si>
    <t>Indicare se il prerequisito sulla disponibilità e affidabilità dei dati di misura è stato conseguito (prerequisito Preq1)</t>
  </si>
  <si>
    <t xml:space="preserve">Indicare l'esito della validazione ai fini della valutazione della disponibilità e affidabilità dei dati per M1 (prerequisito Preq4) </t>
  </si>
  <si>
    <t xml:space="preserve">Indicare l'esito della validazione ai fini della valutazione della disponibilità e affidabilità dei dati per M2 (prerequisito Preq4) </t>
  </si>
  <si>
    <r>
      <t>Preq4</t>
    </r>
    <r>
      <rPr>
        <b/>
        <vertAlign val="subscript"/>
        <sz val="11"/>
        <color rgb="FF000000"/>
        <rFont val="Calibri"/>
        <family val="2"/>
        <scheme val="minor"/>
      </rPr>
      <t>M2</t>
    </r>
  </si>
  <si>
    <t>Inclusi anche i controlli a monte della distribuzione</t>
  </si>
  <si>
    <t>Preq2</t>
  </si>
  <si>
    <t>Il prerequisito sulla conformità alla normativa sulla qualità dell'acqua distribuita agli utenti è stato conseguito (prerequisito Preq2)?</t>
  </si>
  <si>
    <r>
      <t>Preq4</t>
    </r>
    <r>
      <rPr>
        <b/>
        <vertAlign val="subscript"/>
        <sz val="11"/>
        <color rgb="FF000000"/>
        <rFont val="Calibri"/>
        <family val="2"/>
        <scheme val="minor"/>
      </rPr>
      <t>M3</t>
    </r>
  </si>
  <si>
    <t xml:space="preserve">Indicare l'esito della validazione ai fini della valutazione della disponibilità e affidabilità dei dati per M3 (prerequisito Preq4) </t>
  </si>
  <si>
    <t>UtTmis_3000</t>
  </si>
  <si>
    <t>di cui con consumi medi annui fino a 3.000 mc (2 tentativi minimi)</t>
  </si>
  <si>
    <t>UtTmis_3000+</t>
  </si>
  <si>
    <t>di cui con consumi medi annui superiori a 3.000 mc (3 tentativi minimi)</t>
  </si>
  <si>
    <t>Vedere TIMSII, comma 15.1</t>
  </si>
  <si>
    <r>
      <t>Preq3</t>
    </r>
    <r>
      <rPr>
        <b/>
        <vertAlign val="subscript"/>
        <sz val="11"/>
        <color rgb="FF000000"/>
        <rFont val="Calibri"/>
        <family val="2"/>
        <scheme val="minor"/>
      </rPr>
      <t>M4</t>
    </r>
  </si>
  <si>
    <t>Relativamente al servizio di fognatura, il prerequisito sulla conformità alla normativa sulla gestione delle acque reflue è stato conseguito (prerequisito Preq3)?</t>
  </si>
  <si>
    <t>Indicare l'esito della validazione ai fini della valutazione della disponibilità e affidabilità dei dati  per M4 (prerequisito Preq4)</t>
  </si>
  <si>
    <r>
      <t>Preq4</t>
    </r>
    <r>
      <rPr>
        <b/>
        <vertAlign val="subscript"/>
        <sz val="11"/>
        <color rgb="FF000000"/>
        <rFont val="Calibri"/>
        <family val="2"/>
      </rPr>
      <t>M4</t>
    </r>
  </si>
  <si>
    <t>Adeguatezza normativa degli scaricatori di piena (% non adeguati)</t>
  </si>
  <si>
    <t>Controllo degli scaricatori di piena (% non controllati)</t>
  </si>
  <si>
    <t>Relativamente al servizio di depurazione, il prerequisito sulla conformità alla normativa sulla gestione delle acque reflue è stato conseguito (prerequisito Preq3)?</t>
  </si>
  <si>
    <r>
      <t>Preq4</t>
    </r>
    <r>
      <rPr>
        <b/>
        <vertAlign val="subscript"/>
        <sz val="11"/>
        <color rgb="FF000000"/>
        <rFont val="Calibri"/>
        <family val="2"/>
        <scheme val="minor"/>
      </rPr>
      <t>M5</t>
    </r>
  </si>
  <si>
    <t>Indicare l'esito della validazione ai fini della valutazione della disponibilità e affidabilità dei dati per M5 (prerequisito Preq4)</t>
  </si>
  <si>
    <r>
      <t>Preq3</t>
    </r>
    <r>
      <rPr>
        <b/>
        <vertAlign val="subscript"/>
        <sz val="11"/>
        <color rgb="FF000000"/>
        <rFont val="Calibri"/>
        <family val="2"/>
      </rPr>
      <t>M5</t>
    </r>
  </si>
  <si>
    <r>
      <t>Preq4</t>
    </r>
    <r>
      <rPr>
        <b/>
        <vertAlign val="subscript"/>
        <sz val="11"/>
        <color rgb="FF000000"/>
        <rFont val="Calibri"/>
        <family val="2"/>
        <scheme val="minor"/>
      </rPr>
      <t>M6</t>
    </r>
  </si>
  <si>
    <t>Indicare l'esito della validazione ai fini della valutazione della disponibilità e affidabilità dei dati per M6 (prerequisito Preq4)</t>
  </si>
  <si>
    <r>
      <t>Preq3</t>
    </r>
    <r>
      <rPr>
        <b/>
        <vertAlign val="subscript"/>
        <sz val="11"/>
        <color rgb="FF000000"/>
        <rFont val="Calibri"/>
        <family val="2"/>
      </rPr>
      <t>M6</t>
    </r>
  </si>
  <si>
    <r>
      <t>Preq4</t>
    </r>
    <r>
      <rPr>
        <b/>
        <vertAlign val="subscript"/>
        <sz val="11"/>
        <color rgb="FF000000"/>
        <rFont val="Calibri"/>
        <family val="2"/>
      </rPr>
      <t>M1</t>
    </r>
  </si>
  <si>
    <t>Il dato include la quota parte relativa ai servizi comuni</t>
  </si>
  <si>
    <t>Numero fonti di approvvigionamento di acqua destinata al consumo umano</t>
  </si>
  <si>
    <t>Al fine del calcolo dei macro-indicatori è necessario indicare se il servizio è gestito</t>
  </si>
  <si>
    <t>di cui da sorgenti</t>
  </si>
  <si>
    <t>di cui da pozzi</t>
  </si>
  <si>
    <t>di cui da corsi d'acqua, laghi, bacini artificiali</t>
  </si>
  <si>
    <t>di cui da acque marine o salmastre</t>
  </si>
  <si>
    <t>di cui con età di posa 11-30 anni</t>
  </si>
  <si>
    <t>di cui con età di posa &gt; 50 anni</t>
  </si>
  <si>
    <t>di cui con età di posa non nota</t>
  </si>
  <si>
    <t>Comprende, ad esempio, stacciatura, sedimentazione, filtrazione</t>
  </si>
  <si>
    <t>Nf</t>
  </si>
  <si>
    <t>WAM</t>
  </si>
  <si>
    <t>WA6</t>
  </si>
  <si>
    <t>Wimp</t>
  </si>
  <si>
    <t>Wesp</t>
  </si>
  <si>
    <t>Volume di acqua (potabile o non potabile) prelevato da sistemi di acquedotto/captazione gestiti da altri gestori e immesso nella rete di adduzione e/o di distribuzione</t>
  </si>
  <si>
    <t xml:space="preserve">Volume di acqua (potabile o non potabile) prelevato dalla rete di adduzione e/o di distribuzione e ceduto a sistemi di acquedotto gestiti da altri gestori </t>
  </si>
  <si>
    <t>Esclusi i sistemi di dosaggio di disinfettanti in rete</t>
  </si>
  <si>
    <t>Numero impianti di potabilizzazione delle acque  (esclusa semplice disinfezione)</t>
  </si>
  <si>
    <t>Npot</t>
  </si>
  <si>
    <t>Nei volumi di processo sono compresi i volumi scambiati con sistemi di acquedotto gestiti da altri gestori</t>
  </si>
  <si>
    <t>n./1000 mc</t>
  </si>
  <si>
    <t xml:space="preserve">n. </t>
  </si>
  <si>
    <t>Volume totale rifiuti liquidi in ingresso alla depurazione</t>
  </si>
  <si>
    <r>
      <t>W</t>
    </r>
    <r>
      <rPr>
        <vertAlign val="subscript"/>
        <sz val="11"/>
        <color indexed="8"/>
        <rFont val="Calibri"/>
        <family val="2"/>
        <scheme val="minor"/>
      </rPr>
      <t>gg</t>
    </r>
  </si>
  <si>
    <t>di cui sottoposta a trattamento fisico semplice</t>
  </si>
  <si>
    <t>di cui sottoposta a trattamento fisico e chimico normale</t>
  </si>
  <si>
    <t>di cui volume di acqua prelevato dall'ambiente</t>
  </si>
  <si>
    <t>Non devono essere considerati i volumi importati da altri soggetti</t>
  </si>
  <si>
    <t>di cui volume di acqua esportata in adduzione e/o in distribuzione</t>
  </si>
  <si>
    <t>Numero di comuni serviti (ComA)</t>
  </si>
  <si>
    <t>ComA</t>
  </si>
  <si>
    <t>SUA</t>
  </si>
  <si>
    <t>Superficie  (SUA)</t>
  </si>
  <si>
    <t>ComF</t>
  </si>
  <si>
    <t>SUF</t>
  </si>
  <si>
    <t>Superficie  (SUF)</t>
  </si>
  <si>
    <t>Numero di comuni serviti (ComF)</t>
  </si>
  <si>
    <t>ComD</t>
  </si>
  <si>
    <t>SUD</t>
  </si>
  <si>
    <t>Superficie  (SUD)</t>
  </si>
  <si>
    <t>Numero di comuni serviti (ComD)</t>
  </si>
  <si>
    <t>Numero di interruzioni con mancato rispetto dello standard specifico S3</t>
  </si>
  <si>
    <t>€</t>
  </si>
  <si>
    <t>Dato calcolato per differenza dai precedenti</t>
  </si>
  <si>
    <t>di cui con valorizzazione energetica del biogas prodotto</t>
  </si>
  <si>
    <t>Volume totale reflui in ingresso alla depurazione</t>
  </si>
  <si>
    <r>
      <t>C</t>
    </r>
    <r>
      <rPr>
        <vertAlign val="subscript"/>
        <sz val="11"/>
        <rFont val="Calibri"/>
        <family val="2"/>
        <scheme val="minor"/>
      </rPr>
      <t>ACQ-cnc-A/B</t>
    </r>
  </si>
  <si>
    <r>
      <t>C</t>
    </r>
    <r>
      <rPr>
        <vertAlign val="subscript"/>
        <sz val="11"/>
        <rFont val="Calibri"/>
        <family val="2"/>
        <scheme val="minor"/>
      </rPr>
      <t>ACQ-cnc-C</t>
    </r>
  </si>
  <si>
    <r>
      <t>P</t>
    </r>
    <r>
      <rPr>
        <vertAlign val="subscript"/>
        <sz val="11"/>
        <rFont val="Calibri"/>
        <family val="2"/>
        <scheme val="minor"/>
      </rPr>
      <t>ACQ-pnc-C</t>
    </r>
  </si>
  <si>
    <t>Impianti dedicati al solo incenerimento dei fanghi di depurazione</t>
  </si>
  <si>
    <t>Si considerano sia i volumi prelevati dall'ambiente che quelli importati da sistemi di acquedotto/captazione gestiti da altri gestori</t>
  </si>
  <si>
    <t>di cui numero di interruzioni con mancato rispetto dello standard specifico S1</t>
  </si>
  <si>
    <t>WSP</t>
  </si>
  <si>
    <t>Numero di autoletture dei misuratori di utenza prese in carico per utenti finali con consumi medi annui fino a 3.000 mc (totale)</t>
  </si>
  <si>
    <t>Numero di autoletture dei misuratori di utenza prese in carico per utenti finali con consumi medi annui superiori a 3.000 mc</t>
  </si>
  <si>
    <t>Numero di tentativi di raccolta delle misure per utenti finali con consumi medi annui superiori a 3.000 mc</t>
  </si>
  <si>
    <t>Numero di tentativi di raccolta delle misure per utenti finali con consumi medi annui fino a 3.000 mc (totale)</t>
  </si>
  <si>
    <t>di cui co-trattamento con FORSU/altri scarti organici</t>
  </si>
  <si>
    <t>Si intendono i misuratori dei volumi installati presso gli utenti finali (esclusi utenti indiretti)</t>
  </si>
  <si>
    <t>Comprende, ad esempio, coagulazione e flocculazione (sono da escludere i volumi inseriti nella riga precedente)</t>
  </si>
  <si>
    <t>Comprende, ad esempio, ozonazione, adsorbimento, filtrazione su membrana, osmosi inversa (sono da escludere i volumi inseriti nelle righe precedenti)</t>
  </si>
  <si>
    <t>Solo la rete principale di adduzione e distribuzione, escluse le derivazioni d’utenza</t>
  </si>
  <si>
    <t>di cui volume di acqua importata da altri soggetti</t>
  </si>
  <si>
    <t>Numero di utenti finali serviti per il servizio di acquedotto, ma non allacciati alla fognatura (esclusi utenti indiretti)</t>
  </si>
  <si>
    <t xml:space="preserve">di cui numero di interruzioni con mancato rispetto dello standard specifico S2 </t>
  </si>
  <si>
    <t>di cui sottoposta a trattamento fisico e chimico spinto e/o affinamento</t>
  </si>
  <si>
    <t>Inteso come numero di punti di prelievo ed escluse le importazioni di acqua da altri gestori/grossisti</t>
  </si>
  <si>
    <t>UtTmis_sm</t>
  </si>
  <si>
    <t>Lunghezza totale allacci</t>
  </si>
  <si>
    <t>Lall</t>
  </si>
  <si>
    <t>di cui superiori ai 2.000 A.E.</t>
  </si>
  <si>
    <t>Istanza ex-post ai sensi del comma 5.2, lett. b), del. 917/2017. Specificare motivazioni in relazione</t>
  </si>
  <si>
    <t>Volumi in ingresso al trattamento di potabilizzazione (esclusa semplice disinfezione)</t>
  </si>
  <si>
    <t>di cui con età di posa ≤ 10 anni</t>
  </si>
  <si>
    <r>
      <t>Agg</t>
    </r>
    <r>
      <rPr>
        <vertAlign val="subscript"/>
        <sz val="11"/>
        <rFont val="Calibri"/>
        <family val="2"/>
        <scheme val="minor"/>
      </rPr>
      <t>tot</t>
    </r>
  </si>
  <si>
    <r>
      <t xml:space="preserve">     di cui perdite trattamento (se non incluse in ∑W</t>
    </r>
    <r>
      <rPr>
        <i/>
        <vertAlign val="subscript"/>
        <sz val="11"/>
        <rFont val="Calibri"/>
        <family val="2"/>
        <scheme val="minor"/>
      </rPr>
      <t>OUT</t>
    </r>
    <r>
      <rPr>
        <i/>
        <sz val="11"/>
        <rFont val="Calibri"/>
        <family val="2"/>
        <scheme val="minor"/>
      </rPr>
      <t>)</t>
    </r>
  </si>
  <si>
    <t xml:space="preserve">     di cui da misuratori teleletti</t>
  </si>
  <si>
    <t>M1</t>
  </si>
  <si>
    <t>M3</t>
  </si>
  <si>
    <t>M4</t>
  </si>
  <si>
    <t>Macro-indicatore</t>
  </si>
  <si>
    <t>Solo telelettura da remoto con trasmissione dei dati al sistema di telecontrollo (no walk by/drive by)</t>
  </si>
  <si>
    <t>WPem</t>
  </si>
  <si>
    <t>WUem</t>
  </si>
  <si>
    <t>Quesito riferito all'intervallo temporale dal 1 gennaio al 31 dicembre di ogni anno</t>
  </si>
  <si>
    <t>Classe</t>
  </si>
  <si>
    <r>
      <t>MF</t>
    </r>
    <r>
      <rPr>
        <b/>
        <vertAlign val="subscript"/>
        <sz val="11"/>
        <color rgb="FF000000"/>
        <rFont val="Calibri"/>
        <family val="2"/>
        <scheme val="minor"/>
      </rPr>
      <t>tq,disc</t>
    </r>
    <r>
      <rPr>
        <b/>
        <sz val="11"/>
        <color rgb="FF000000"/>
        <rFont val="Calibri"/>
        <family val="2"/>
        <scheme val="minor"/>
      </rPr>
      <t xml:space="preserve"> (∑MF</t>
    </r>
    <r>
      <rPr>
        <b/>
        <vertAlign val="subscript"/>
        <sz val="11"/>
        <color rgb="FF000000"/>
        <rFont val="Calibri"/>
        <family val="2"/>
        <scheme val="minor"/>
      </rPr>
      <t>tq,disc,imp</t>
    </r>
    <r>
      <rPr>
        <b/>
        <sz val="11"/>
        <color rgb="FF000000"/>
        <rFont val="Calibri"/>
        <family val="2"/>
        <scheme val="minor"/>
      </rPr>
      <t>)</t>
    </r>
  </si>
  <si>
    <t>S_plus</t>
  </si>
  <si>
    <t>Ammontare complessivo degli indennizzi erogato agli utenti finali (inclusi utenti indiretti) interessati da mancato rispetto degli standard specifici di qualità tecnica</t>
  </si>
  <si>
    <t>Ammontare complessivo degli indennizzi non ancora corrisposto agli utenti finali (inclusi utenti indiretti) interessati da mancato rispetto degli standard specifici di qualità tecnica</t>
  </si>
  <si>
    <t>WLA1</t>
  </si>
  <si>
    <t xml:space="preserve">     di cui perdite di acqua non potabile in adduzione</t>
  </si>
  <si>
    <t>WLA2</t>
  </si>
  <si>
    <t xml:space="preserve">     di cui perdite di acqua potabile in adduzione</t>
  </si>
  <si>
    <t>Si considera (in questa sede) come potabile anche l'acqua che necessita di trattamenti di sola disinfezione</t>
  </si>
  <si>
    <t>Indicare se nella Carta dei Servizi in vigore è garantito uno standard migliorativo per gli standard specifici S1 e/o S2 e/o S3</t>
  </si>
  <si>
    <t>Prevalentemente</t>
  </si>
  <si>
    <t>Obiettivo RQTI</t>
  </si>
  <si>
    <t>Valore obiettivo M4a</t>
  </si>
  <si>
    <t>Valore obiettivo M4b</t>
  </si>
  <si>
    <t>Valore obiettivo M4c</t>
  </si>
  <si>
    <t>Valore obiettivo M3a</t>
  </si>
  <si>
    <t>Valore obiettivo M3b</t>
  </si>
  <si>
    <t>Valore obiettivo M3c</t>
  </si>
  <si>
    <t>Valore obiettivo M1a</t>
  </si>
  <si>
    <t>Valore obiettivo M6</t>
  </si>
  <si>
    <t xml:space="preserve">Valore obiettivo MFtq,disc </t>
  </si>
  <si>
    <t>Lo  smaltimento in discarica si riferisce al destino finale dei fanghi, a valle di eventuali trattamenti biologici e/o fisico-chimici</t>
  </si>
  <si>
    <t>Presenza prerequisito Preq1</t>
  </si>
  <si>
    <r>
      <t>Presenza prerequisito Preq4</t>
    </r>
    <r>
      <rPr>
        <b/>
        <vertAlign val="subscript"/>
        <sz val="11"/>
        <rFont val="Calibri"/>
        <family val="2"/>
        <scheme val="minor"/>
      </rPr>
      <t>M1</t>
    </r>
  </si>
  <si>
    <r>
      <t>Presenza prerequisito Preq4</t>
    </r>
    <r>
      <rPr>
        <b/>
        <vertAlign val="subscript"/>
        <sz val="11"/>
        <rFont val="Calibri"/>
        <family val="2"/>
        <scheme val="minor"/>
      </rPr>
      <t>M2</t>
    </r>
  </si>
  <si>
    <t>Presenza prerequisito Preq2</t>
  </si>
  <si>
    <r>
      <t>Presenza prerequisito Preq4</t>
    </r>
    <r>
      <rPr>
        <b/>
        <vertAlign val="subscript"/>
        <sz val="11"/>
        <rFont val="Calibri"/>
        <family val="2"/>
        <scheme val="minor"/>
      </rPr>
      <t>M3</t>
    </r>
  </si>
  <si>
    <r>
      <t>Presenza prerequisitoPreq3</t>
    </r>
    <r>
      <rPr>
        <b/>
        <vertAlign val="subscript"/>
        <sz val="11"/>
        <color rgb="FF000000"/>
        <rFont val="Calibri"/>
        <family val="2"/>
        <scheme val="minor"/>
      </rPr>
      <t>M4</t>
    </r>
  </si>
  <si>
    <r>
      <t>Presenza prerequisito Preq4</t>
    </r>
    <r>
      <rPr>
        <b/>
        <vertAlign val="subscript"/>
        <sz val="11"/>
        <color rgb="FF000000"/>
        <rFont val="Calibri"/>
        <family val="2"/>
      </rPr>
      <t>M4</t>
    </r>
  </si>
  <si>
    <r>
      <t>Presenza prerequisitoPreq3</t>
    </r>
    <r>
      <rPr>
        <b/>
        <vertAlign val="subscript"/>
        <sz val="11"/>
        <color rgb="FF000000"/>
        <rFont val="Calibri"/>
        <family val="2"/>
        <scheme val="minor"/>
      </rPr>
      <t>M5</t>
    </r>
  </si>
  <si>
    <r>
      <t>Presenza prerequisito Preq4</t>
    </r>
    <r>
      <rPr>
        <b/>
        <vertAlign val="subscript"/>
        <sz val="11"/>
        <color rgb="FF000000"/>
        <rFont val="Calibri"/>
        <family val="2"/>
      </rPr>
      <t>M5</t>
    </r>
  </si>
  <si>
    <r>
      <t>Presenza prerequisitoPreq3</t>
    </r>
    <r>
      <rPr>
        <b/>
        <vertAlign val="subscript"/>
        <sz val="11"/>
        <color rgb="FF000000"/>
        <rFont val="Calibri"/>
        <family val="2"/>
        <scheme val="minor"/>
      </rPr>
      <t>M6</t>
    </r>
  </si>
  <si>
    <r>
      <t>Presenza prerequisito Preq4</t>
    </r>
    <r>
      <rPr>
        <b/>
        <vertAlign val="subscript"/>
        <sz val="11"/>
        <color rgb="FF000000"/>
        <rFont val="Calibri"/>
        <family val="2"/>
      </rPr>
      <t>M6</t>
    </r>
  </si>
  <si>
    <t>Gestore</t>
  </si>
  <si>
    <t>campo_vuoto</t>
  </si>
  <si>
    <t>ATO</t>
  </si>
  <si>
    <t>ID_ATO</t>
  </si>
  <si>
    <t>GESTORE</t>
  </si>
  <si>
    <t>comune di collesano</t>
  </si>
  <si>
    <t>COMUNE DI BORGETTO</t>
  </si>
  <si>
    <t>COMUNE DI PRIZZI</t>
  </si>
  <si>
    <t>COMUNE DI CERENZIA</t>
  </si>
  <si>
    <t>COMUNE DI TORREGROTTA</t>
  </si>
  <si>
    <t>COMUNE DI PALMI</t>
  </si>
  <si>
    <t>Comune di San Piero Patti</t>
  </si>
  <si>
    <t>NOVITO ACQUE SRL</t>
  </si>
  <si>
    <t>COMUNE DI BERCETO</t>
  </si>
  <si>
    <t>COMUNE DI SAGRON MIS</t>
  </si>
  <si>
    <t>comune di casapulla</t>
  </si>
  <si>
    <t>Comune di Sefro</t>
  </si>
  <si>
    <t>CONSORZIO INTERCOMUNALE ACQUEDOTTO VINA</t>
  </si>
  <si>
    <t>Acque Bresciane Srl</t>
  </si>
  <si>
    <t>COMUNE DI CONTA'</t>
  </si>
  <si>
    <t>C.A.M.A. srl</t>
  </si>
  <si>
    <t>COMUNE DI SAN MARCO D'ALUNZIO</t>
  </si>
  <si>
    <t>COMUNE DI SAN NICOLA ARCELLA</t>
  </si>
  <si>
    <t>CONSORZIO VALLE CRATI</t>
  </si>
  <si>
    <t>Consorzio tra Comuni per la Gestione del Servizio Idrico Integrato nel Crotonese</t>
  </si>
  <si>
    <t>COMUNE DI AMBLAR-DON</t>
  </si>
  <si>
    <t>COMUNE DI FRAZZANO'</t>
  </si>
  <si>
    <t>COMUNE DI COTRONEI</t>
  </si>
  <si>
    <t>COMUNE DI REITANO</t>
  </si>
  <si>
    <t>comune di pastorano</t>
  </si>
  <si>
    <t>Comune di Ardore</t>
  </si>
  <si>
    <t>Comune di Vitulazio</t>
  </si>
  <si>
    <t>COMUNE DI BORGO LARES</t>
  </si>
  <si>
    <t>Comune di Zeri</t>
  </si>
  <si>
    <t>So.r.i spa</t>
  </si>
  <si>
    <t>A.SPE.CO.N.</t>
  </si>
  <si>
    <t>Comune di Galati Mamertino</t>
  </si>
  <si>
    <t>COMUNE DI AVERARA</t>
  </si>
  <si>
    <t>comune di palma di montechiaro</t>
  </si>
  <si>
    <t>Comune di Condrò</t>
  </si>
  <si>
    <t>COMUNE DI MADRUZZO</t>
  </si>
  <si>
    <t>COMUNE DI CEMBRA LISIGNAGO</t>
  </si>
  <si>
    <t>Comune di Calatafimi Segesta</t>
  </si>
  <si>
    <t>COMUNE DI PETRONA'</t>
  </si>
  <si>
    <t>COMUNE DI GERANO</t>
  </si>
  <si>
    <t>COMUNE DI CAPENA</t>
  </si>
  <si>
    <t>COMUNE DI CINETO ROMANO</t>
  </si>
  <si>
    <t>COMUNE DI VALLEPIETRA</t>
  </si>
  <si>
    <t>COMUNE DI RIOFREDDO</t>
  </si>
  <si>
    <t>COMUNE DI VALDAONE</t>
  </si>
  <si>
    <t>COMUNE DI MEZZOLDO</t>
  </si>
  <si>
    <t>comune di roccagiovine</t>
  </si>
  <si>
    <t>Comune di Proceno</t>
  </si>
  <si>
    <t>SI.EL. Srl</t>
  </si>
  <si>
    <t>COMUNE DI TRE VILLE</t>
  </si>
  <si>
    <t>Comune di Monasterolo Casotto</t>
  </si>
  <si>
    <t>COMUNE DI DRUOGNO</t>
  </si>
  <si>
    <t>COMUNE DI ISCHIA DI CASTRO</t>
  </si>
  <si>
    <t>Comune di Carfizzi</t>
  </si>
  <si>
    <t>comune di castiglione in teverina</t>
  </si>
  <si>
    <t>COMUNE DI BASSANO ROMANO</t>
  </si>
  <si>
    <t>COMUNE DI LUBRIANO</t>
  </si>
  <si>
    <t>COMUNE DI FORMAZZA</t>
  </si>
  <si>
    <t>Comune di Cellere</t>
  </si>
  <si>
    <t>comune di gallese</t>
  </si>
  <si>
    <t>COMUNE DI SUTRI</t>
  </si>
  <si>
    <t>COMUNE DI PORTE DI RENDENA</t>
  </si>
  <si>
    <t>Comune di Ossimo</t>
  </si>
  <si>
    <t>Comune di Caltavuturo</t>
  </si>
  <si>
    <t>COMUNE DI VASANELLO</t>
  </si>
  <si>
    <t>COMUNE DI FILETTINO</t>
  </si>
  <si>
    <t>COMUNE DI PETRALIA SOPRANA</t>
  </si>
  <si>
    <t>COMUNE DI BRANZI</t>
  </si>
  <si>
    <t>COMUNE DI OLMO AL BREMBO</t>
  </si>
  <si>
    <t>Comune di Piazzatorre</t>
  </si>
  <si>
    <t>comune di vedeseta</t>
  </si>
  <si>
    <t>COMUNE DI BACENO</t>
  </si>
  <si>
    <t>COMUNE DI LOSINE</t>
  </si>
  <si>
    <t>COMUNE DI BASSANO IN TEVERINA</t>
  </si>
  <si>
    <t>COMUNE DI ALTAVALLE</t>
  </si>
  <si>
    <t>COMUNE DI PAOLA</t>
  </si>
  <si>
    <t>COMUNE DI SAN LORENZO DORSINO</t>
  </si>
  <si>
    <t>COMUNE DI PETRALIA SOTTANA</t>
  </si>
  <si>
    <t>COMUNE DI RECALE</t>
  </si>
  <si>
    <t>Comune di Sclafani Bagni</t>
  </si>
  <si>
    <t>COMUNE DI PIEVE DI BONO-PREZZO</t>
  </si>
  <si>
    <t>Comune di Giarre</t>
  </si>
  <si>
    <t>COMUNE DI PIETRAVAIRANO</t>
  </si>
  <si>
    <t>COMUNE DI GAGGI</t>
  </si>
  <si>
    <t>Comune di Terrasini</t>
  </si>
  <si>
    <t>COMUNE DI PRIMIERO SAN MARTINO DI CASTROZZA</t>
  </si>
  <si>
    <t>ALFA S.r.l.</t>
  </si>
  <si>
    <t>COMUNE DI BAGNARA CALABRA</t>
  </si>
  <si>
    <t>COMUNE DI SPADAFORA</t>
  </si>
  <si>
    <t>COMUNE DI LETOJANNI</t>
  </si>
  <si>
    <t>COMUNE DI TORRENOVA</t>
  </si>
  <si>
    <t>COMUNE DI MOTTA D'AFFERMO</t>
  </si>
  <si>
    <t>COMUNE DI POLLINA</t>
  </si>
  <si>
    <t>COMUNE DI SANT'ANGELO D'ALIFE</t>
  </si>
  <si>
    <t>COMUNE DI VALLELAGHI</t>
  </si>
  <si>
    <t>COMUNE DI SANTO STEFANO DI CAMASTRA</t>
  </si>
  <si>
    <t>Acqua Pubblica Sabina S.P.A.</t>
  </si>
  <si>
    <t>Comune di santa maria del cedro</t>
  </si>
  <si>
    <t>COMUNE DI VILLE D'ANAUNIA</t>
  </si>
  <si>
    <t>Cooperativa gestione acquedotto vicinia Zuel di Sopra</t>
  </si>
  <si>
    <t>COMUNE DI ALTOPIANO DELLA VIGOLANA</t>
  </si>
  <si>
    <t>COMUNE DI CASTELVECCHIO DI ROCCA BARBENA</t>
  </si>
  <si>
    <t>COMUNE DI SAN VERO MILIS</t>
  </si>
  <si>
    <t>COMUNE DI MONTEPAONE</t>
  </si>
  <si>
    <t>Comune di Satriano</t>
  </si>
  <si>
    <t>Comune di Castronovo di Sicilia</t>
  </si>
  <si>
    <t>COMUNE DI CAMPOTOSTO</t>
  </si>
  <si>
    <t>Comune di Ponte di Legno</t>
  </si>
  <si>
    <t>Comune di Misilmeri</t>
  </si>
  <si>
    <t>COMUNE DI PENNADOMO</t>
  </si>
  <si>
    <t>Consorzio Acquedotto Vicinia di Cojana</t>
  </si>
  <si>
    <t>Comune di Villafranca Tirrena</t>
  </si>
  <si>
    <t>COMUNE DI BURGOS</t>
  </si>
  <si>
    <t>COMUNE DI CASANOVA LERRONE</t>
  </si>
  <si>
    <t>Comune di Vendone</t>
  </si>
  <si>
    <t>COMUNE DI ANZOLA D'OSSOLA</t>
  </si>
  <si>
    <t>Acque Potabili Servizi Idrici Integrati Srl</t>
  </si>
  <si>
    <t>CONSORZIO ACQUEDOTTO TRA I COMUNI DI FRAGNETO MONFORTE E FRAGNETO L'ABATE</t>
  </si>
  <si>
    <t>COMUNE DI SELLA GIUDICARIE</t>
  </si>
  <si>
    <t>COMUNE DI DIMARO FOLGARIDA</t>
  </si>
  <si>
    <t>COMUNE DI CASTEL IVANO</t>
  </si>
  <si>
    <t>COMUNE DI BORGO CHIESE</t>
  </si>
  <si>
    <t>COMUNE DI LOCRI</t>
  </si>
  <si>
    <t>COMUNE DI BOVALINO</t>
  </si>
  <si>
    <t>COMUNE DI AGNANA CALABRA</t>
  </si>
  <si>
    <t>COMUNE DI BRANCALEONE</t>
  </si>
  <si>
    <t>COMUNE DI RADDUSA</t>
  </si>
  <si>
    <t>COMUNE DI PLATI'</t>
  </si>
  <si>
    <t>COMUNE DI BENESTARE</t>
  </si>
  <si>
    <t>Comune di Maropati</t>
  </si>
  <si>
    <t>Comune di Serra San Bruno</t>
  </si>
  <si>
    <t>Comune di Vibo Valentia</t>
  </si>
  <si>
    <t>Comune di Spilinga</t>
  </si>
  <si>
    <t>Comune di Piraino</t>
  </si>
  <si>
    <t>COMUNE DI MILETO</t>
  </si>
  <si>
    <t>COMUNE DI MONTEROSSO CALABRO</t>
  </si>
  <si>
    <t>COMUNE DI STILO</t>
  </si>
  <si>
    <t>COMUNE DI BIANCO</t>
  </si>
  <si>
    <t>COMUNE DI SAN PIER NICETO</t>
  </si>
  <si>
    <t>COMUNE DI ZAMBRONE</t>
  </si>
  <si>
    <t>COMUNE DI BRUZZANO ZEFFIRIO</t>
  </si>
  <si>
    <t>COMUNE DI POLIA</t>
  </si>
  <si>
    <t>COMUNE DI SAN NICOLA DA CRISSA</t>
  </si>
  <si>
    <t>COMUNE DI GALLODORO</t>
  </si>
  <si>
    <t>COMUNE DI SANTA TERESA DI RIVA</t>
  </si>
  <si>
    <t>Comune di San Luca</t>
  </si>
  <si>
    <t>COMUNE DI ZUNGRI</t>
  </si>
  <si>
    <t>COMUNE DI PAZZANO</t>
  </si>
  <si>
    <t>COMUNE DI PACE DEL MELA</t>
  </si>
  <si>
    <t>COMUNE DI PREDAIA</t>
  </si>
  <si>
    <t>Comune di Bivongi</t>
  </si>
  <si>
    <t>COMUNE DI TUSA</t>
  </si>
  <si>
    <t>Comune di Rosarno</t>
  </si>
  <si>
    <t>COMUNE DI IONADI</t>
  </si>
  <si>
    <t>Comune di San Roberto</t>
  </si>
  <si>
    <t>COMUNE DI PALLAGORIO</t>
  </si>
  <si>
    <t>Comune di Buccheri</t>
  </si>
  <si>
    <t>Comune di Castelbuono</t>
  </si>
  <si>
    <t>AZIENDA REGIONALE DELLE ATTIVITA PRODUTTIVE</t>
  </si>
  <si>
    <t>Comune di Melito di Porto Salvo</t>
  </si>
  <si>
    <t>comune di catanzaro</t>
  </si>
  <si>
    <t>COMUNE DI COLOSIMI</t>
  </si>
  <si>
    <t>Comune di Barcellona Pozzo di Gotto</t>
  </si>
  <si>
    <t>Comune di Santa Caterina dello Ionio</t>
  </si>
  <si>
    <t>Comune di Santa Domenica Vittoria</t>
  </si>
  <si>
    <t>comune di casalduni</t>
  </si>
  <si>
    <t>Comune di Sersale</t>
  </si>
  <si>
    <t>COMUNE DI FIUMEDINISI</t>
  </si>
  <si>
    <t>Comune di Gratteri</t>
  </si>
  <si>
    <t>COMUNE DI DUGENTA</t>
  </si>
  <si>
    <t>Azienda Speciale Regionale Molise Acque</t>
  </si>
  <si>
    <t>COMUNE DI CALANNA</t>
  </si>
  <si>
    <t>COMUNE DI PAOLISI</t>
  </si>
  <si>
    <t>Comune di Ferla</t>
  </si>
  <si>
    <t>COMUNE DI CHIANCHE</t>
  </si>
  <si>
    <t>COMUNE DI PIETRADEFUSI</t>
  </si>
  <si>
    <t>Comune di Lauro</t>
  </si>
  <si>
    <t>comune di mirabella imbaccari</t>
  </si>
  <si>
    <t>C.I.R.A.  S.R.L.</t>
  </si>
  <si>
    <t>COMUNE DI QUADRELLE</t>
  </si>
  <si>
    <t>Servizi Integrati Acque del Mediterraneo - SIAM</t>
  </si>
  <si>
    <t>COMUNE DI ITALA</t>
  </si>
  <si>
    <t>COMUNE DI CASTELVETERE SUL CALORE</t>
  </si>
  <si>
    <t>COMUNE DI VENTICANO</t>
  </si>
  <si>
    <t>COMUNE DI GUARDIA SANFRAMONDI</t>
  </si>
  <si>
    <t>COMUNE DI  MOSCHIANO</t>
  </si>
  <si>
    <t>COMUNE DI CAPRI LEONE</t>
  </si>
  <si>
    <t>A.M.A.M. Azienda Meridionale Acque Messina S.p.A.</t>
  </si>
  <si>
    <t>COMUNE DI FALLO</t>
  </si>
  <si>
    <t>Comune di Filadelfia</t>
  </si>
  <si>
    <t>COMUNE DI PALAZZO CANAVESE</t>
  </si>
  <si>
    <t>COMUNE DI ROTELLO</t>
  </si>
  <si>
    <t>COMUNE DI PIETRAMELARA</t>
  </si>
  <si>
    <t>CONSORZIO COMUNI DELLA MEDIA SABINA</t>
  </si>
  <si>
    <t>Comune di Castell'Umberto</t>
  </si>
  <si>
    <t>COMUNE DI SCALETTA ZANCLEA</t>
  </si>
  <si>
    <t>COMUNE DI AUGUSTA</t>
  </si>
  <si>
    <t>Comune di Bussi sul Tirino</t>
  </si>
  <si>
    <t>COMUNE DI BORNO</t>
  </si>
  <si>
    <t>Comune di Canistro</t>
  </si>
  <si>
    <t>COMUNE DI SAN FILIPPO DEL MELA</t>
  </si>
  <si>
    <t>COMUNE DI CAPO DI PONTE</t>
  </si>
  <si>
    <t>Comune di Lentini</t>
  </si>
  <si>
    <t>COMUNE DI TERTENIA</t>
  </si>
  <si>
    <t>COMUNE DI MASCALI</t>
  </si>
  <si>
    <t>COMUNE DI SANTA LUCIA DEL MELA</t>
  </si>
  <si>
    <t>COMUNE DI PERFUGAS</t>
  </si>
  <si>
    <t>Comune di Braone</t>
  </si>
  <si>
    <t>COMUNE DI CAMPO CALABRO</t>
  </si>
  <si>
    <t>COMUNE DI BONARCADO</t>
  </si>
  <si>
    <t>COMUNE DI ALFEDENA</t>
  </si>
  <si>
    <t>COMUNE DI LIMATOLA</t>
  </si>
  <si>
    <t>COMUNE DI SANTA BRIGIDA</t>
  </si>
  <si>
    <t>COMUNE DI REINO</t>
  </si>
  <si>
    <t>COMUNE DI BERZO INFERIORE</t>
  </si>
  <si>
    <t>COMUNE DI ARZANA</t>
  </si>
  <si>
    <t>Comune di Isola di Fondra</t>
  </si>
  <si>
    <t>COMUNE DI STRAMBINELLO</t>
  </si>
  <si>
    <t>comune di priolo gargallo</t>
  </si>
  <si>
    <t>Comune di Camerata Cornello</t>
  </si>
  <si>
    <t>COMUNE DI VILLAGRANDE STRISAILI</t>
  </si>
  <si>
    <t>COMUNE DI SANTU LUSSURGIU</t>
  </si>
  <si>
    <t>COMUNE DI SEUI</t>
  </si>
  <si>
    <t>COMUNE DI FLUMINIMAGGIORE</t>
  </si>
  <si>
    <t>Comune di Portopalo di Capo Passero</t>
  </si>
  <si>
    <t>COMUNE DI PASPARDO</t>
  </si>
  <si>
    <t>COMUNE DI PAULILATINO</t>
  </si>
  <si>
    <t>COMUNE DI SERRAMANNA</t>
  </si>
  <si>
    <t>COMUNE DI TEULADA</t>
  </si>
  <si>
    <t>COMUNE DI BOTTIDDA</t>
  </si>
  <si>
    <t>COMUNE DI ONO SAN PIETRO</t>
  </si>
  <si>
    <t>Comune di Monte di Procida</t>
  </si>
  <si>
    <t>COMUNE DI CIMBERGO</t>
  </si>
  <si>
    <t>comune di nuxis</t>
  </si>
  <si>
    <t>COMUNE DI OLZAI</t>
  </si>
  <si>
    <t>Livenza Tagliamento Acque S.p.A.</t>
  </si>
  <si>
    <t>COMUNE DI ESPORLATU</t>
  </si>
  <si>
    <t>COMUNE DI FLORIDIA</t>
  </si>
  <si>
    <t>COMUNE DI VILLA SAN GIOVANNI</t>
  </si>
  <si>
    <t>COMUNE DI SANTA MARGHERITA DI BELICE</t>
  </si>
  <si>
    <t>Comune di Magliolo</t>
  </si>
  <si>
    <t>comune di quarto</t>
  </si>
  <si>
    <t>COMUNE DI MODOLO</t>
  </si>
  <si>
    <t>COMUNE DI TURANIA</t>
  </si>
  <si>
    <t>Comune di Aquilonia</t>
  </si>
  <si>
    <t>Comune di Rofrano</t>
  </si>
  <si>
    <t>Comune di Castroreale</t>
  </si>
  <si>
    <t>COMUNE DI MONTEFERRANTE</t>
  </si>
  <si>
    <t>COMUNE DI VALDINA</t>
  </si>
  <si>
    <t>COMUNE DI SANT'ANGELO A CUPOLO</t>
  </si>
  <si>
    <t>DOMUS ACQUA SRL</t>
  </si>
  <si>
    <t>comune di erli</t>
  </si>
  <si>
    <t>COMUNE DI VARISELLA</t>
  </si>
  <si>
    <t>Comune di Alcamo</t>
  </si>
  <si>
    <t>COMUNE DI CONCERVIANO</t>
  </si>
  <si>
    <t>COMUNE DI ANELA</t>
  </si>
  <si>
    <t>COMUNE DI NASINO</t>
  </si>
  <si>
    <t>Comune di Ginestra degli Schiavoni</t>
  </si>
  <si>
    <t>COMUNE DI ROIO DEL SANGRO</t>
  </si>
  <si>
    <t>Comune di Roccabascerana</t>
  </si>
  <si>
    <t>COMUNE DI ROCCELLA VALDEMONE</t>
  </si>
  <si>
    <t>COMUNE DI BULTEI</t>
  </si>
  <si>
    <t>COMUNE DI CASTELBIANCO</t>
  </si>
  <si>
    <t>comune di balestrino</t>
  </si>
  <si>
    <t>Comune di Teano</t>
  </si>
  <si>
    <t>Comune di Bolognola</t>
  </si>
  <si>
    <t>COMUNE DI VOLTURARA IRPINA</t>
  </si>
  <si>
    <t>COMUNE DI ROCCHETTA BELBO</t>
  </si>
  <si>
    <t>COMUNE DI CARDITO</t>
  </si>
  <si>
    <t>COMUNE DI COLLEDIMEZZO</t>
  </si>
  <si>
    <t>COMUNE DI GURRO</t>
  </si>
  <si>
    <t>COMUNE DI BURCEI</t>
  </si>
  <si>
    <t>COMUNE DI VITTORIA</t>
  </si>
  <si>
    <t>COMUNE DI SAVIORE DELL'ADAMELLO</t>
  </si>
  <si>
    <t>COMUNE DI CASORIA</t>
  </si>
  <si>
    <t>COMUNE DI SCAGNELLO</t>
  </si>
  <si>
    <t>COMUNE DI POGGIO SAN VICINO</t>
  </si>
  <si>
    <t>Comune di Montefalcone di Val Fortore</t>
  </si>
  <si>
    <t>COMUNE DI TRIPI</t>
  </si>
  <si>
    <t>COMUNE DI CONTURSI TERME</t>
  </si>
  <si>
    <t>comune di canicattini bagni</t>
  </si>
  <si>
    <t>COMUNE DI TRASQUERA</t>
  </si>
  <si>
    <t>COMUNE DI MELILLI</t>
  </si>
  <si>
    <t>COMUNE DI GIUGLIANO IN CAMPANIA</t>
  </si>
  <si>
    <t>comune di circello</t>
  </si>
  <si>
    <t>comune di roccagloriosa</t>
  </si>
  <si>
    <t>COMUNE DI PACHINO</t>
  </si>
  <si>
    <t>COMUNE DI TORELLA DEI LOMBARDI</t>
  </si>
  <si>
    <t>COMUNE DI APOLLOSA</t>
  </si>
  <si>
    <t>COMUNE DI TROPEA</t>
  </si>
  <si>
    <t>Comune di Breno</t>
  </si>
  <si>
    <t>Comune di Cerva</t>
  </si>
  <si>
    <t>Comune di Simeri Crichi</t>
  </si>
  <si>
    <t>COMUNE DI CASTELPETROSO</t>
  </si>
  <si>
    <t>Comune di Cicala</t>
  </si>
  <si>
    <t>COMUNE DI PIETRACATELLA</t>
  </si>
  <si>
    <t>COMUNE DI LUCITO</t>
  </si>
  <si>
    <t>COMUNE DI CASTELBOTTACCIO</t>
  </si>
  <si>
    <t>COMUNE DI MURIALDO</t>
  </si>
  <si>
    <t>COMUNE DI URURI</t>
  </si>
  <si>
    <t>COMUNE DI SESSANO DEL MOLISE</t>
  </si>
  <si>
    <t>COMUNE DI MONTAGANO</t>
  </si>
  <si>
    <t>COMUNE DI CASTEL MORRONE</t>
  </si>
  <si>
    <t>COMUNE DI CARPINONE</t>
  </si>
  <si>
    <t>COMUNE DI MANGONE</t>
  </si>
  <si>
    <t>COMUNE DI MIRANDA</t>
  </si>
  <si>
    <t>Comune di San Vito sullo Ionio</t>
  </si>
  <si>
    <t>COMUNE DI SANT'ELENA SANNITA</t>
  </si>
  <si>
    <t>comune di Roccasicura</t>
  </si>
  <si>
    <t>COMUNE DI ESINE</t>
  </si>
  <si>
    <t>COMUNE DI LIMOSANO</t>
  </si>
  <si>
    <t>COMUNE DI VALLEFIORITA</t>
  </si>
  <si>
    <t>COMUNE DI CAMPANA</t>
  </si>
  <si>
    <t>COMUNE DI MARZI</t>
  </si>
  <si>
    <t>COMUNE DI CANTALUPO NEL SANNIO</t>
  </si>
  <si>
    <t>COMUNE DI FILIGNANO</t>
  </si>
  <si>
    <t>Comune di Davoli</t>
  </si>
  <si>
    <t>COMUNE DI FORNELLI</t>
  </si>
  <si>
    <t>Comune di Sant'Elia a Pianisi</t>
  </si>
  <si>
    <t>COMUNE DI PESCOLANCIANO</t>
  </si>
  <si>
    <t>COMUNE DI SAN GIULIANO DEL SANNIO</t>
  </si>
  <si>
    <t>comune di Francica</t>
  </si>
  <si>
    <t>COMUNE DI CASTELLINO DEL BIFERNO</t>
  </si>
  <si>
    <t>COMUNE DI CHIAUCI</t>
  </si>
  <si>
    <t>COMUNE DI CASTELPIZZUTO</t>
  </si>
  <si>
    <t>COMUNE DI LAPPANO</t>
  </si>
  <si>
    <t>COMUNE DI GILDONE</t>
  </si>
  <si>
    <t>COMUNE DI CERCEMAGGIORE</t>
  </si>
  <si>
    <t>Comune di Praia a Mare</t>
  </si>
  <si>
    <t>COMUNE DI BAGNOLI DEL TRIGNO</t>
  </si>
  <si>
    <t>COMUNE DI MOLISE</t>
  </si>
  <si>
    <t>COMUNE DI MACCHIAGODENA</t>
  </si>
  <si>
    <t>COMUNE DI RIPABOTTONI</t>
  </si>
  <si>
    <t>COMUNE DI MONTORIO NEI FRENTANI</t>
  </si>
  <si>
    <t>comune di Drena</t>
  </si>
  <si>
    <t>COMUNE DI MONTELONGO</t>
  </si>
  <si>
    <t>COMUNE DI PROVVIDENTI</t>
  </si>
  <si>
    <t>Comune di Casalbuono</t>
  </si>
  <si>
    <t>COMUNE DI ISSOGNE</t>
  </si>
  <si>
    <t>Comune di Maissana</t>
  </si>
  <si>
    <t>Comune di Pozzuoli</t>
  </si>
  <si>
    <t>COMUNE DI BATTIFOLLO</t>
  </si>
  <si>
    <t>COMUNE DI BIONAZ</t>
  </si>
  <si>
    <t>Comune di Oyace</t>
  </si>
  <si>
    <t>COMUNE DI CASTELNUOVO DI CEVA</t>
  </si>
  <si>
    <t>Comune di Carovilli</t>
  </si>
  <si>
    <t>COMUNE DI PRIERO</t>
  </si>
  <si>
    <t>Società Acqua Procida S.A.P. S.r.l.</t>
  </si>
  <si>
    <t>COMUNE DI PIZZONE</t>
  </si>
  <si>
    <t>COMUNE DI LEQUIO BERRIA</t>
  </si>
  <si>
    <t>COMUNE DI TORO</t>
  </si>
  <si>
    <t>Comune di Sessa Aurunca</t>
  </si>
  <si>
    <t>comune di castel vittorio</t>
  </si>
  <si>
    <t>COMUNE DI PIGNA</t>
  </si>
  <si>
    <t>COMUNE DI AURIGO</t>
  </si>
  <si>
    <t>COMUNE DI ROCCHETTA NERVINA</t>
  </si>
  <si>
    <t>Comune di Prelà</t>
  </si>
  <si>
    <t>COMUNE DI BAJARDO</t>
  </si>
  <si>
    <t>COMUNE DI APRICALE</t>
  </si>
  <si>
    <t>COMUNE DI PIETRABRUNA</t>
  </si>
  <si>
    <t>Jonica Multiservizi S.p.A.</t>
  </si>
  <si>
    <t>COMUNE DI BORGOMARO</t>
  </si>
  <si>
    <t>Comune di Cesio</t>
  </si>
  <si>
    <t>COMUNE DI ARMO</t>
  </si>
  <si>
    <t>COMUNE SAN NAZZARO</t>
  </si>
  <si>
    <t>COMUNE DI AIROLE</t>
  </si>
  <si>
    <t>COMUNE DI REZZO</t>
  </si>
  <si>
    <t>COMUNE DI VASIA</t>
  </si>
  <si>
    <t>comune di caravonica</t>
  </si>
  <si>
    <t>COMUNE DI RANZO</t>
  </si>
  <si>
    <t>COMUNE DI LUCINASCO</t>
  </si>
  <si>
    <t>Comune di Serino</t>
  </si>
  <si>
    <t>Comune di Rocchetta e Croce</t>
  </si>
  <si>
    <t>Comune di San Giorgio del Sannio</t>
  </si>
  <si>
    <t>COMUNE DI MONTEMARANO</t>
  </si>
  <si>
    <t>comune di SANT'ANGELO A SCALA</t>
  </si>
  <si>
    <t>COMO ACQUA S.R.L.</t>
  </si>
  <si>
    <t>COMUNE DI MONTEFORTE CILENTO</t>
  </si>
  <si>
    <t>COMUNE DI MIAZZINA</t>
  </si>
  <si>
    <t>COMUNE DI TORRIONI</t>
  </si>
  <si>
    <t>COMUNE DI BIENNO</t>
  </si>
  <si>
    <t>COMUNE DI ALTAVILLA IRPINA</t>
  </si>
  <si>
    <t>Comune di Avella</t>
  </si>
  <si>
    <t>Comune di Mugnano del Cardinale</t>
  </si>
  <si>
    <t>COMUNE DI SANT'ANGELO DEI LOMBARDI</t>
  </si>
  <si>
    <t>COMUNE DI SAN SALVATORE TELESINO</t>
  </si>
  <si>
    <t>comune di san pietro al tanagro</t>
  </si>
  <si>
    <t>COMUNE DI FONTANAROSA</t>
  </si>
  <si>
    <t>comune di vallesaccarda</t>
  </si>
  <si>
    <t>COMUNE DI MAGLIANO VETERE</t>
  </si>
  <si>
    <t>Comune di Zuccarello</t>
  </si>
  <si>
    <t>Comune di Taurasi</t>
  </si>
  <si>
    <t>COMUNE DI PRATA DI PRINCIPATO ULTRA</t>
  </si>
  <si>
    <t>COMUNE DI CARIFE</t>
  </si>
  <si>
    <t>comune di giffoni valle piana</t>
  </si>
  <si>
    <t>COMUNE DI PIAGGINE</t>
  </si>
  <si>
    <t>COMUNE DI CARBONATE</t>
  </si>
  <si>
    <t>COMUNE DI PETRURO IRPINO</t>
  </si>
  <si>
    <t>Comune di Conza della Campania</t>
  </si>
  <si>
    <t>COMUNE DI AIELLO DEL SABATO</t>
  </si>
  <si>
    <t>comune di baselice</t>
  </si>
  <si>
    <t>COMUNE DI MONTEFALCIONE</t>
  </si>
  <si>
    <t>COMUNE DI FORINO</t>
  </si>
  <si>
    <t>comune di montefusco</t>
  </si>
  <si>
    <t>COMUNE DI PIETRAROJA</t>
  </si>
  <si>
    <t>COMUNE DI CANDIDA</t>
  </si>
  <si>
    <t>comune di montesano sulla marcellana</t>
  </si>
  <si>
    <t>comune di corleto monforte</t>
  </si>
  <si>
    <t>COMUNE DI ROMAGNANO AL MONTE</t>
  </si>
  <si>
    <t>COSTRUZIONI DONDI</t>
  </si>
  <si>
    <t>comune di castel di iudica</t>
  </si>
  <si>
    <t>COMUNE DI RANDAZZO</t>
  </si>
  <si>
    <t>COMUNE DI SCORDIA</t>
  </si>
  <si>
    <t>COMUNE DI PALAGONIA</t>
  </si>
  <si>
    <t>COMUNE DI SASSINORO</t>
  </si>
  <si>
    <t>COMUNE DI MALETTO</t>
  </si>
  <si>
    <t>COMUNE DI POMPEIANA</t>
  </si>
  <si>
    <t>Servizi Ambientali s.p.a.</t>
  </si>
  <si>
    <t>COMUNE DI BIANCAVILLA</t>
  </si>
  <si>
    <t>Comune di Oliveto Citra</t>
  </si>
  <si>
    <t>COMUNE DI POSTIGLIONE</t>
  </si>
  <si>
    <t>COMUNE DI MANDELA</t>
  </si>
  <si>
    <t>comune di padula</t>
  </si>
  <si>
    <t>COMUNE DI NIARDO</t>
  </si>
  <si>
    <t>COMUNE DI PETINA</t>
  </si>
  <si>
    <t>Comune di OGLIASTRO Cilento</t>
  </si>
  <si>
    <t>COMUNE DI VALLO TORINESE</t>
  </si>
  <si>
    <t>COMUNE DI BELSITO</t>
  </si>
  <si>
    <t>COMUNE DI CAMPOLI DEL MONTE TABURNO</t>
  </si>
  <si>
    <t>COMUNE DI MONTEGROSSO PIAN LATTE</t>
  </si>
  <si>
    <t>COMUNE DI MONTENERO DI BISACCIA</t>
  </si>
  <si>
    <t>COMUNE DI MALEGNO</t>
  </si>
  <si>
    <t>COMUNE DI MENFI</t>
  </si>
  <si>
    <t>COMUNE DI AIROLA</t>
  </si>
  <si>
    <t>COMUNE DI MOIANO</t>
  </si>
  <si>
    <t>COMUNE DI LUSCIANO</t>
  </si>
  <si>
    <t>COMUNE DI PUGLIANELLO</t>
  </si>
  <si>
    <t>COMUNE DI SAN LORENZELLO</t>
  </si>
  <si>
    <t>COMUNE DI PIAN CAMUNO</t>
  </si>
  <si>
    <t>COMUNE DI ARTOGNE</t>
  </si>
  <si>
    <t>COMUNE DI GIANICO</t>
  </si>
  <si>
    <t>Comune di Baiano</t>
  </si>
  <si>
    <t>Comune di Caposele</t>
  </si>
  <si>
    <t>COMUNE DI TRIORA</t>
  </si>
  <si>
    <t>COMUNE DI BACOLI</t>
  </si>
  <si>
    <t>COMUNE DI CIVIDATE CAMUNO</t>
  </si>
  <si>
    <t>COMUNE DI VALPELLINE</t>
  </si>
  <si>
    <t>COMUNE DI BUROLO</t>
  </si>
  <si>
    <t>Comune di Laives</t>
  </si>
  <si>
    <t>Comune di Prali</t>
  </si>
  <si>
    <t>COMUNE DI BRONTE</t>
  </si>
  <si>
    <t>Comune di Salza di Pinerolo</t>
  </si>
  <si>
    <t>Comune di Fenestrelle</t>
  </si>
  <si>
    <t>COMUNE DI PERRERO</t>
  </si>
  <si>
    <t>COMUNE DI DOUES</t>
  </si>
  <si>
    <t>COMUNE DI ROURE</t>
  </si>
  <si>
    <t>COMUNE DI VIONE</t>
  </si>
  <si>
    <t>COMUNE DI PONTEY</t>
  </si>
  <si>
    <t>COMUNE DI GANGI</t>
  </si>
  <si>
    <t>COMUNE DI TORCEGNO</t>
  </si>
  <si>
    <t>Comune di Ronchi Valsugana</t>
  </si>
  <si>
    <t>Comune di Valsavarenche</t>
  </si>
  <si>
    <t>COMUNE DI INTROD</t>
  </si>
  <si>
    <t>COMUNE DI CAVIZZANA</t>
  </si>
  <si>
    <t>Comune di Selva di Val Gardena</t>
  </si>
  <si>
    <t>COMUNE DI CROVIANA</t>
  </si>
  <si>
    <t>COMUNE DI GIGNOD</t>
  </si>
  <si>
    <t>COMUNE DI ROISAN</t>
  </si>
  <si>
    <t>COMUNE DI ALBANELLA</t>
  </si>
  <si>
    <t>Comune di San Giovanni in Galdo</t>
  </si>
  <si>
    <t>COMUNE DI CASTELFRANCO IN MISCANO</t>
  </si>
  <si>
    <t>COMUNE DI SAN POLO MATESE</t>
  </si>
  <si>
    <t>COMUNE DI CASTROPIGNANO</t>
  </si>
  <si>
    <t>COMUNE DI SAN MASSIMO</t>
  </si>
  <si>
    <t>COMUNE DI SAN BIASE</t>
  </si>
  <si>
    <t>COMUNE DI COLLE D'ANCHISE</t>
  </si>
  <si>
    <t>comune di frassilongo</t>
  </si>
  <si>
    <t>Acquedotto Cooperativo di Fié allo Sciliar</t>
  </si>
  <si>
    <t>COMUNE DI SANT'ANGELO LIMOSANO</t>
  </si>
  <si>
    <t>COMUNE DI CASTELBELLO-CIARDES</t>
  </si>
  <si>
    <t>COMUNE DI SPINETE</t>
  </si>
  <si>
    <t>COMUNE DI CHAMBAVE</t>
  </si>
  <si>
    <t>comune di Capitignano</t>
  </si>
  <si>
    <t>COMUNE DI VALFLORIANA</t>
  </si>
  <si>
    <t>Comune di Val di Vizze</t>
  </si>
  <si>
    <t>COMUNE DI VERRAYES</t>
  </si>
  <si>
    <t>Comune di Plaus</t>
  </si>
  <si>
    <t>COMUNE DI OSPEDALETTO</t>
  </si>
  <si>
    <t>ACQUEDOTTO DEL CARSO S.P.A. -  KRASKI VODOVOD D.D.</t>
  </si>
  <si>
    <t>Comune di Renon</t>
  </si>
  <si>
    <t>Comune di San Martino in Badia</t>
  </si>
  <si>
    <t>COMUNE DI SAN LORENZO DI SEBATO</t>
  </si>
  <si>
    <t>COMUNE DI TRODENA NEL PARCO NATURALE</t>
  </si>
  <si>
    <t>Comune di Predoi</t>
  </si>
  <si>
    <t>Comune di Cortina sulla strada del vino</t>
  </si>
  <si>
    <t>COMUNE DI VADENA</t>
  </si>
  <si>
    <t>COMUNE DI SELVA DEI MOLINI</t>
  </si>
  <si>
    <t>COMUNE DI SENALES</t>
  </si>
  <si>
    <t>Comune di Ultimo</t>
  </si>
  <si>
    <t>Comune di Brennero</t>
  </si>
  <si>
    <t>COMUNE DI RONCEGNO TERME</t>
  </si>
  <si>
    <t>Comune di Rodengo</t>
  </si>
  <si>
    <t>COMUNE DI ARVIER</t>
  </si>
  <si>
    <t>Comune di Santa Cristina Val Gardena</t>
  </si>
  <si>
    <t>COMUNE DI VALTOURNENCHE</t>
  </si>
  <si>
    <t>COMUNE DI GAIS</t>
  </si>
  <si>
    <t>Comune di Lauregno</t>
  </si>
  <si>
    <t>Comune di Tesimo</t>
  </si>
  <si>
    <t>Comune di Proves</t>
  </si>
  <si>
    <t>COMUNE DI AVISE</t>
  </si>
  <si>
    <t>COMUNE DI RHEMES-SAINT-GEORGES</t>
  </si>
  <si>
    <t>Comune di Anterivo</t>
  </si>
  <si>
    <t>COMUNE DI TERMENO SULLA STRADA DEL VINO</t>
  </si>
  <si>
    <t>COMUNE DI SAN CANDIDO</t>
  </si>
  <si>
    <t>Comune di Bronzolo</t>
  </si>
  <si>
    <t>COMUNE DI VELTURNO</t>
  </si>
  <si>
    <t>Comune di Ortisei</t>
  </si>
  <si>
    <t>COMUNE DI EMARESE</t>
  </si>
  <si>
    <t>Comune di Villabassa</t>
  </si>
  <si>
    <t>Comune di Falzes</t>
  </si>
  <si>
    <t>Comune di Fié allo Sciliar</t>
  </si>
  <si>
    <t>COMUNE DI NATURNO</t>
  </si>
  <si>
    <t>Comune di Meltina</t>
  </si>
  <si>
    <t>Comune di Stelvio</t>
  </si>
  <si>
    <t>S.I.I. S.P.A.SERVIZIO IDRICO INTEGRATO DEL BIELLESE E VERCELLESE</t>
  </si>
  <si>
    <t>Comune di Fortezza</t>
  </si>
  <si>
    <t>COMUNE DI BEDOLLO</t>
  </si>
  <si>
    <t>COMUNE DI SAMONE</t>
  </si>
  <si>
    <t>COMUNE DI CHALLAND SAINT ANSELME</t>
  </si>
  <si>
    <t>COMUNE DI VALGRISENCHE</t>
  </si>
  <si>
    <t>COMUNE DI LA MAGDELEINE</t>
  </si>
  <si>
    <t>COMUNE DI PIEVE TESINO</t>
  </si>
  <si>
    <t>COMUNE DI ALBIANO</t>
  </si>
  <si>
    <t>comune di ollomont</t>
  </si>
  <si>
    <t>COMUNE DI CASTEL DI LUCIO</t>
  </si>
  <si>
    <t>COMUNE DI CEVO</t>
  </si>
  <si>
    <t>COMUNE DI SAINT-NICOLAS</t>
  </si>
  <si>
    <t>COMUNE DI POZZAGLIA SABINA</t>
  </si>
  <si>
    <t>SERVIZI COMUNALI ASSOCIATI SRL</t>
  </si>
  <si>
    <t>COMUNE DI CASTELNUOVO</t>
  </si>
  <si>
    <t>Comune di Ora</t>
  </si>
  <si>
    <t>Comune San Martino in Passiria</t>
  </si>
  <si>
    <t>COMUNE DI DRO</t>
  </si>
  <si>
    <t>Comune di Gargazzone</t>
  </si>
  <si>
    <t>COMUNE DI TIROLO</t>
  </si>
  <si>
    <t>COMUNE DI ALDINO</t>
  </si>
  <si>
    <t>Comunità Comprensoriale Valle Isarco</t>
  </si>
  <si>
    <t>Comune di Valdaora</t>
  </si>
  <si>
    <t>Comune di Barbiano</t>
  </si>
  <si>
    <t>Comune di Castelrotto</t>
  </si>
  <si>
    <t>Comune di Avelengo</t>
  </si>
  <si>
    <t>Comune di Senale - San Felice</t>
  </si>
  <si>
    <t>COMUNE DI FOLGARIA</t>
  </si>
  <si>
    <t>COMUNE DI ANTEY-SAINT-ANDRE</t>
  </si>
  <si>
    <t>COMUNE DI BAGNOLI IRPINO</t>
  </si>
  <si>
    <t>COMUNE DI CASTELVETERE IN VAL FORTORE</t>
  </si>
  <si>
    <t>COMUNE DI TRAPANI</t>
  </si>
  <si>
    <t>COMUNE DI IMER</t>
  </si>
  <si>
    <t>COMUNE DI ACI CATENA</t>
  </si>
  <si>
    <t>COMUNE DI ZIANO DI FIEMME</t>
  </si>
  <si>
    <t>COMUNE DI COMANO TERME</t>
  </si>
  <si>
    <t>COMUNE DI POMAROLO</t>
  </si>
  <si>
    <t>acquedotto lucano s.p.a.</t>
  </si>
  <si>
    <t>COMUNE DI BLEGGIO SUPERIORE</t>
  </si>
  <si>
    <t>COMUNE DI TENNO</t>
  </si>
  <si>
    <t>COMUNE DI VILLA LAGARINA</t>
  </si>
  <si>
    <t>COMUNE DI NOGAREDO</t>
  </si>
  <si>
    <t>COMUNE DI BIENO</t>
  </si>
  <si>
    <t>COMUNE DI CASTEL CONDINO</t>
  </si>
  <si>
    <t>COMUNE DI STENICO</t>
  </si>
  <si>
    <t>COMUNE DI CANAZEI</t>
  </si>
  <si>
    <t>COMUNE NAGO-TORBOLE</t>
  </si>
  <si>
    <t>COMUNE DI MEZZANO</t>
  </si>
  <si>
    <t>COMUNE DI STORO</t>
  </si>
  <si>
    <t>Comune di Afragola</t>
  </si>
  <si>
    <t>COMUNE DI PELLIZZANO</t>
  </si>
  <si>
    <t>SOCIETA' ACQUA LODIGIANA SRL</t>
  </si>
  <si>
    <t>Comune di Racines</t>
  </si>
  <si>
    <t>SIDRA S.P.A.</t>
  </si>
  <si>
    <t>COMUNE DI PRATO ALLO STELVIO</t>
  </si>
  <si>
    <t>COMUNE DI EGNA</t>
  </si>
  <si>
    <t>COMUNE DI MISTERBIANCO</t>
  </si>
  <si>
    <t>ACQUE DI CALTANISSETTA SPA</t>
  </si>
  <si>
    <t>S.A.S.I. S.p.A.</t>
  </si>
  <si>
    <t>COMUNE DI ORATINO</t>
  </si>
  <si>
    <t>Comune di Monreale</t>
  </si>
  <si>
    <t>COMUNE DI CAMPODENNO</t>
  </si>
  <si>
    <t>ACQUEDOTTO POIANA S.P.A.</t>
  </si>
  <si>
    <t>COMUNE DI RABBI</t>
  </si>
  <si>
    <t>acquedotti  U.C.C.</t>
  </si>
  <si>
    <t>TALETE S.P.A.</t>
  </si>
  <si>
    <t>COMUNE DI MAZZIN</t>
  </si>
  <si>
    <t>COMUNE DI DOBBIACO</t>
  </si>
  <si>
    <t>Comune di Brentonico</t>
  </si>
  <si>
    <t>SICAM SRL CON SOCIO UNICO</t>
  </si>
  <si>
    <t>COMUNE DI LAVARONE</t>
  </si>
  <si>
    <t>COMUNE DI SPIAZZO</t>
  </si>
  <si>
    <t>COMUNE DI CAMPITELLO DI FASSA</t>
  </si>
  <si>
    <t>COMUNE DI LONA LASES</t>
  </si>
  <si>
    <t>comune di riposto</t>
  </si>
  <si>
    <t>COMUNE DI MOENA</t>
  </si>
  <si>
    <t>COMUNE DI LEDRO</t>
  </si>
  <si>
    <t>COMUNE DI TELVE DI SOPRA</t>
  </si>
  <si>
    <t>COMUNE DI COMMEZZADURA</t>
  </si>
  <si>
    <t>Comune di Arco</t>
  </si>
  <si>
    <t>COMUNE DI CALVI RISORTA</t>
  </si>
  <si>
    <t>COMUNE DI DENNO</t>
  </si>
  <si>
    <t>COMUNE DI COGNE</t>
  </si>
  <si>
    <t>Comune di Macchia d'Isernia</t>
  </si>
  <si>
    <t>COMUNE DI CAVEDINE</t>
  </si>
  <si>
    <t>COMUNE DI CINTE TESINO</t>
  </si>
  <si>
    <t>COMUNE DI TELVE</t>
  </si>
  <si>
    <t>COMUNE DI SCURELLE</t>
  </si>
  <si>
    <t>Comune di Silandro</t>
  </si>
  <si>
    <t>COMUNE DI SEGONZANO</t>
  </si>
  <si>
    <t>COMUNE DI GIUSTINO</t>
  </si>
  <si>
    <t>COMUNE DI MONTEMITRO</t>
  </si>
  <si>
    <t>COMUNE DI CALCERANICA AL LAGO</t>
  </si>
  <si>
    <t>COMUNE DI CAPRIANA</t>
  </si>
  <si>
    <t>COMUNE DI FIAVE'</t>
  </si>
  <si>
    <t>COMUNE DI FERRAZZANO</t>
  </si>
  <si>
    <t>COMUNE DI GIOVO</t>
  </si>
  <si>
    <t>COMUNE DI PINZOLO</t>
  </si>
  <si>
    <t>COMUNE DI RUFFRE' MENDOLA</t>
  </si>
  <si>
    <t>COMUNE DI VIGNOLA FALESINA</t>
  </si>
  <si>
    <t>COMUNE DI TRAMBILENO</t>
  </si>
  <si>
    <t>COMUNE DI RUMO</t>
  </si>
  <si>
    <t>COMUNE DI CARZANO</t>
  </si>
  <si>
    <t>comune di torre bormida</t>
  </si>
  <si>
    <t>COMUNE DI TERRAGNOLO</t>
  </si>
  <si>
    <t>comune di pantelleria</t>
  </si>
  <si>
    <t>COMUNE DI SFRUZ</t>
  </si>
  <si>
    <t>ABBANOA SPA</t>
  </si>
  <si>
    <t>COMUNE DI RIGNANO FLAMINIO</t>
  </si>
  <si>
    <t>COMUNE DI TORELLA DEL SANNIO</t>
  </si>
  <si>
    <t>COMUNE DI BONEFRO</t>
  </si>
  <si>
    <t>COMUNE DI CALDONAZZO</t>
  </si>
  <si>
    <t>comune di campagna</t>
  </si>
  <si>
    <t>COMUNE DI FIEROZZO / GAMOA' VA VLAROTZ</t>
  </si>
  <si>
    <t>COMUNE DI MEZZANA</t>
  </si>
  <si>
    <t>Comune di Monte San Giacomo</t>
  </si>
  <si>
    <t>Comune di Dambel</t>
  </si>
  <si>
    <t>COMUNE DI MONNO</t>
  </si>
  <si>
    <t>ALTO CALORE SERVIZI S.P.A.</t>
  </si>
  <si>
    <t>COMUNE DI SPORMAGGIORE</t>
  </si>
  <si>
    <t>COMUNE DI PANCHIA'</t>
  </si>
  <si>
    <t>COMUNE DI CIMONE</t>
  </si>
  <si>
    <t>ING. ANTONIO FIORE E C.</t>
  </si>
  <si>
    <t>REGIONE CAMPANIA</t>
  </si>
  <si>
    <t>COMUNE DI SANZENO</t>
  </si>
  <si>
    <t>COMUNE DI CANAL SAN BOVO</t>
  </si>
  <si>
    <t>Comune di Incudine</t>
  </si>
  <si>
    <t>COMUNE DI MONTENERO VAL COCCHIARA</t>
  </si>
  <si>
    <t>COMUNE DI CHIUSANO DI SAN DOMENICO</t>
  </si>
  <si>
    <t>COMUNE DI CAVEDAGO</t>
  </si>
  <si>
    <t>COMUNE DI PEIO</t>
  </si>
  <si>
    <t>COMUNE DI LIVO</t>
  </si>
  <si>
    <t>COMUNE DI RONZO-CHIENIS</t>
  </si>
  <si>
    <t>Ottogas Srl</t>
  </si>
  <si>
    <t>Acquedotti Scpa</t>
  </si>
  <si>
    <t>comune di scontrone</t>
  </si>
  <si>
    <t>SE.I.DA. Servizi Idrici ed Ambientali S.r.l.</t>
  </si>
  <si>
    <t>SO.GE.A. S.R.L. SOCIETA' GESTIONE ACQUEDOTTI</t>
  </si>
  <si>
    <t>COMUNE DI SAINT-DENIS</t>
  </si>
  <si>
    <t>Acquedotto San Lazzaro S.p.A.</t>
  </si>
  <si>
    <t>COMUNE DI SAVIGNANO IRPINO</t>
  </si>
  <si>
    <t>COMUNE DI VILLENEUVE</t>
  </si>
  <si>
    <t>COMUNE DI SAINT-RHEMY-EN-BOSSES</t>
  </si>
  <si>
    <t>COMUNE DI CADERZONE TERME</t>
  </si>
  <si>
    <t>COMUNE DI ALLEIN</t>
  </si>
  <si>
    <t>COMUNE DI SALCITO</t>
  </si>
  <si>
    <t>Comune di Cassaro</t>
  </si>
  <si>
    <t>Comune di Massimeno</t>
  </si>
  <si>
    <t>Comune di Bocenago</t>
  </si>
  <si>
    <t>Comune di Strembo</t>
  </si>
  <si>
    <t>Acquedotti Ing. Sarino Pavone S.p.A.</t>
  </si>
  <si>
    <t>Comune di Etroubles</t>
  </si>
  <si>
    <t>Comune di Buscemi</t>
  </si>
  <si>
    <t>COMUNE DI ROCCAVIVARA</t>
  </si>
  <si>
    <t>CAP HOLDING S.P.A</t>
  </si>
  <si>
    <t>Acam Acque SpA</t>
  </si>
  <si>
    <t>CIRONE DOMENICO &amp; C. SAS</t>
  </si>
  <si>
    <t>Viacqua S.p.A.</t>
  </si>
  <si>
    <t>Iren Acqua Tigullio S.p.A.</t>
  </si>
  <si>
    <t>TENNACOLA SPA</t>
  </si>
  <si>
    <t>BUCARO GIUSEPPE E C. S.R.L.</t>
  </si>
  <si>
    <t>COMUNE DI SEPINO</t>
  </si>
  <si>
    <t>COMUNE DI SAINT-OYEN</t>
  </si>
  <si>
    <t>AM.TER S.p.A.</t>
  </si>
  <si>
    <t>Acquedotto Consortile Biviere</t>
  </si>
  <si>
    <t>COMUNE DI PETACCIATO</t>
  </si>
  <si>
    <t>IDRICA</t>
  </si>
  <si>
    <t>PAVIA ACQUE S.C.A.R.L.</t>
  </si>
  <si>
    <t>COMUNE DI PALAZZOLO ACREIDE</t>
  </si>
  <si>
    <t>COMUNE DI TEMU'</t>
  </si>
  <si>
    <t>COMUNE DI VALLEDOLMO</t>
  </si>
  <si>
    <t>ACEA ATO2 S.P.A.</t>
  </si>
  <si>
    <t>Unité des Communes Valdôtaines Grand-Paradis</t>
  </si>
  <si>
    <t>COMUNE DI FIASTRA</t>
  </si>
  <si>
    <t>COMUNE DI ARNAD</t>
  </si>
  <si>
    <t>COMUNE DI VOLTAGGIO</t>
  </si>
  <si>
    <t>MEDIO CHIAMPO SPA</t>
  </si>
  <si>
    <t>COMUNE DI PIETRARUBBIA</t>
  </si>
  <si>
    <t>A.C.A. S.P.A. IN HOUSE PROVIDING</t>
  </si>
  <si>
    <t>COMUNE DI AOSTA</t>
  </si>
  <si>
    <t>COMUNE DI CASTELMAURO</t>
  </si>
  <si>
    <t>COMUNE DI SAN GREGORIO MAGNO</t>
  </si>
  <si>
    <t>ACQUAENNA S.C.P.A.</t>
  </si>
  <si>
    <t>ACEA ATO 5 SPA</t>
  </si>
  <si>
    <t>MM S.P.A.</t>
  </si>
  <si>
    <t>COMUNE DI ACQUAVIVA COLLECROCE</t>
  </si>
  <si>
    <t>COMUNE DI CIVIASCO</t>
  </si>
  <si>
    <t>COMUNE DI TAVENNA</t>
  </si>
  <si>
    <t>COMUNE DI PENTONE</t>
  </si>
  <si>
    <t>COMUNE DI GROTTOLELLA</t>
  </si>
  <si>
    <t>ACQUALATINA SPA</t>
  </si>
  <si>
    <t>COMUNE DI PIANCOGNO</t>
  </si>
  <si>
    <t>ACQUE AURORA S.R.L.</t>
  </si>
  <si>
    <t>COMUNE DI CAPRIGLIA IRPINA</t>
  </si>
  <si>
    <t>PUBLIACQUA</t>
  </si>
  <si>
    <t>CONSORZIO PER LA DEPURAZIONE DELLE ACQUE DI SCARICO DEL SAVONESE S.P.A.</t>
  </si>
  <si>
    <t>Comune Costa Vescovato</t>
  </si>
  <si>
    <t>COMUNE DI MAFALDA</t>
  </si>
  <si>
    <t>Comune di San Felice del Molise</t>
  </si>
  <si>
    <t>Comune di Sortino</t>
  </si>
  <si>
    <t>COMUNE DI MONTEFALCONE NEL SANNIO</t>
  </si>
  <si>
    <t>CIIP Cicli Integrati Impianti Primari S.p.A.</t>
  </si>
  <si>
    <t>COMUNE DI CAMPOCHIARO</t>
  </si>
  <si>
    <t>SEBINO SERVIZI SRL</t>
  </si>
  <si>
    <t>GAIA SPA</t>
  </si>
  <si>
    <t>GEMEINDE WELSCHNOFEN / COMUNE DI NOVA LEVANTE</t>
  </si>
  <si>
    <t>Comune di Ceto</t>
  </si>
  <si>
    <t>ACQUEDOTTO DEL FIORA SPA</t>
  </si>
  <si>
    <t>Acquedotto della Piana S.p.A.</t>
  </si>
  <si>
    <t>AMAP Spa</t>
  </si>
  <si>
    <t>LARIANA DEPUR</t>
  </si>
  <si>
    <t>Lamezia Multiservizi S.p.A.</t>
  </si>
  <si>
    <t>COMUNE DI GAMBATESA</t>
  </si>
  <si>
    <t>COMUNE DI DURONIA</t>
  </si>
  <si>
    <t>Comune di SAN MARTINO IN PENSILIS</t>
  </si>
  <si>
    <t>Comune di Colletorto</t>
  </si>
  <si>
    <t>nuove acque spa</t>
  </si>
  <si>
    <t>COMUNE DI MOTTA SANT'ANASTASIA</t>
  </si>
  <si>
    <t>MONDO ACQUA</t>
  </si>
  <si>
    <t>E.G.U.A. S.r.l.</t>
  </si>
  <si>
    <t>A.P.M. SPA AZIENDA PLURISERVIZI MACERATA</t>
  </si>
  <si>
    <t>CONSORZIO DEI COMUNI PER L'ACQUEDOTTO DEL MONFERRATO</t>
  </si>
  <si>
    <t>COMUNE DI POGGIO SANNITA</t>
  </si>
  <si>
    <t>HydroGEA spa</t>
  </si>
  <si>
    <t>Idrablu</t>
  </si>
  <si>
    <t>Comune di Castello di Annone</t>
  </si>
  <si>
    <t>A.C.Q.U.A. V.I.T.A.N.A.</t>
  </si>
  <si>
    <t>ALTA LANGA SERVIZI S.P.A.</t>
  </si>
  <si>
    <t>ALPI ACQUE</t>
  </si>
  <si>
    <t>Comune di Carlentini</t>
  </si>
  <si>
    <t>COMUNE DI PESCHE</t>
  </si>
  <si>
    <t>COMUNE DI SCILLATO</t>
  </si>
  <si>
    <t>CAFC S.p.A.</t>
  </si>
  <si>
    <t>ACQUA NOVARA.VCO S.P.A.</t>
  </si>
  <si>
    <t>comune di monteroduni</t>
  </si>
  <si>
    <t>Acque Veronesi s.c. a r.l.</t>
  </si>
  <si>
    <t>COMUNE DI FOSSALTO</t>
  </si>
  <si>
    <t>Azienda Servizi Municipalizzati di Merano Spa</t>
  </si>
  <si>
    <t>AQUA SEPRIO SERVIZI SRL</t>
  </si>
  <si>
    <t>COMUNE DI SANT'ARSENIO</t>
  </si>
  <si>
    <t>BRIANZACQUE SRL</t>
  </si>
  <si>
    <t>MONTAGNA2000</t>
  </si>
  <si>
    <t>acquevenete spa</t>
  </si>
  <si>
    <t>G.E.A.L. S.P.A. Gestione esercizio acquedotti Lucchesi</t>
  </si>
  <si>
    <t>Acque S.p.A.</t>
  </si>
  <si>
    <t>Comune di Capracotta</t>
  </si>
  <si>
    <t>AUSINO S.P.A</t>
  </si>
  <si>
    <t>GRAN SASSO ACQUA S.P.A.</t>
  </si>
  <si>
    <t>CORDAR SPA BIELLA SERVIZI</t>
  </si>
  <si>
    <t>EMILIAMBIENTE</t>
  </si>
  <si>
    <t>A.M.A. S.p.A.</t>
  </si>
  <si>
    <t>COMUNI RIUNITI BELFORTE MONFERRATO SRL</t>
  </si>
  <si>
    <t>VALLE ORBA DEPURAZIONE S.R.L.</t>
  </si>
  <si>
    <t>AZIENDA GARDESANA SERVIZI SPA</t>
  </si>
  <si>
    <t>ACQUE CARCACI DEL FASANO SPA</t>
  </si>
  <si>
    <t>SORGEAQUA S.R.L.</t>
  </si>
  <si>
    <t>Umbra Acque S.p.A.</t>
  </si>
  <si>
    <t>Acque di Casalotto S.p.A.</t>
  </si>
  <si>
    <t>SACA SERVIZI AMBIENTALI CENTRO ABRUZZO</t>
  </si>
  <si>
    <t>Gestione Servizi Sannio - GE.SE.SA.</t>
  </si>
  <si>
    <t>Consac Gestioni Idriche S.p.a.</t>
  </si>
  <si>
    <t>C.A.D.F. S.p.A.</t>
  </si>
  <si>
    <t>SERVIZI IDRICI ETNEI S.P.A</t>
  </si>
  <si>
    <t>SERVIZIO IDRICO INTEGRATO S.C.p.A.</t>
  </si>
  <si>
    <t>Comune di Cerveno</t>
  </si>
  <si>
    <t>UNIACQUE SPA</t>
  </si>
  <si>
    <t>IRISACQUA SRL</t>
  </si>
  <si>
    <t>GESTIONE ACQUA SPA</t>
  </si>
  <si>
    <t>ACQUEDOTTO VALTIGLIONE S.P.A.</t>
  </si>
  <si>
    <t>CO.R.D.A.R. VALSESIA spa</t>
  </si>
  <si>
    <t>COMUNE DI CASTELLO TESINO</t>
  </si>
  <si>
    <t>Comune di Terento</t>
  </si>
  <si>
    <t>Comune di Appiano sulla Strada del Vino</t>
  </si>
  <si>
    <t>Comune di Lana</t>
  </si>
  <si>
    <t>Comune di Lasa</t>
  </si>
  <si>
    <t>Comune di Scena</t>
  </si>
  <si>
    <t>Comune di Verano</t>
  </si>
  <si>
    <t>Comune di Marlengo</t>
  </si>
  <si>
    <t>CONSORZIO PER L'ACQUEDOTTO DI AZZON</t>
  </si>
  <si>
    <t>Iren Acqua S.p.A.</t>
  </si>
  <si>
    <t>COMUNE DI SARENTINO</t>
  </si>
  <si>
    <t>Comune di Chienes</t>
  </si>
  <si>
    <t>Comune di Chiusa</t>
  </si>
  <si>
    <t>A2A CICLO IDRICO</t>
  </si>
  <si>
    <t>ACQUEDOTTO PUGLIESE SPA</t>
  </si>
  <si>
    <t>Comunità Comprensoriale Val Venosta</t>
  </si>
  <si>
    <t>IRETI S.p.A.</t>
  </si>
  <si>
    <t>ETRA SPA</t>
  </si>
  <si>
    <t>Comune Città di Glorenza</t>
  </si>
  <si>
    <t>COMUNE DI MENDATICA</t>
  </si>
  <si>
    <t>SOCIETA' METROPOLITANA ACQUE TORINO</t>
  </si>
  <si>
    <t>COMUNE DI CARISOLO</t>
  </si>
  <si>
    <t>COMUNE DI BASELGA DI PINE'</t>
  </si>
  <si>
    <t>comune di Rasun-Anterselva</t>
  </si>
  <si>
    <t>COMUNE DI PERCA</t>
  </si>
  <si>
    <t>VERITAS SPA</t>
  </si>
  <si>
    <t>Comune di Cornedo all'Isarco</t>
  </si>
  <si>
    <t>COMUNE DI CHAMPDEPRAZ</t>
  </si>
  <si>
    <t>COMUNE DI RICCIA</t>
  </si>
  <si>
    <t>ATO 9 - AGRIGENTO</t>
  </si>
  <si>
    <t>COMUNE DI SAN GIULIANO DI PUGLIA</t>
  </si>
  <si>
    <t>ATO 8 - SIRACUSA</t>
  </si>
  <si>
    <t>ATO 7 - TRAPANI</t>
  </si>
  <si>
    <t>COMUNE DI RONCOBELLO</t>
  </si>
  <si>
    <t>ATO 6 - CALTANISSETTA</t>
  </si>
  <si>
    <t>COMUNE DI MALLES VENOSTA</t>
  </si>
  <si>
    <t>ATO 5 - ENNA</t>
  </si>
  <si>
    <t>COMUNE DI CLES</t>
  </si>
  <si>
    <t>ATO 4 - RAGUSA</t>
  </si>
  <si>
    <t>COMUNE DI ROCCA PIA</t>
  </si>
  <si>
    <t>ATO 3 - MESSINA</t>
  </si>
  <si>
    <t>Comune di Rio di Pusteria</t>
  </si>
  <si>
    <t>ATO 2 - CATANIA</t>
  </si>
  <si>
    <t>ACOSET</t>
  </si>
  <si>
    <t>ATO 1 - PALERMO</t>
  </si>
  <si>
    <t>Comune di Molini di Triora</t>
  </si>
  <si>
    <t>A.S.P. S.P.A.</t>
  </si>
  <si>
    <t>COMUNE DI CAMPO TURES</t>
  </si>
  <si>
    <t>ATO BASILICATA</t>
  </si>
  <si>
    <t>ATO PUGLIA</t>
  </si>
  <si>
    <t>PADANIA ACQUE S.P.A.</t>
  </si>
  <si>
    <t>A.S.S.M. S.P.A. - TOLENTINO</t>
  </si>
  <si>
    <t>COMUNE DI PACENTRO</t>
  </si>
  <si>
    <t>ATO MOLISE</t>
  </si>
  <si>
    <t>ATO 6 - CHIETI</t>
  </si>
  <si>
    <t>COMUNE DI CALDES</t>
  </si>
  <si>
    <t>ATO 5 - TERAMO</t>
  </si>
  <si>
    <t>COMUNE DI SANT'ORSOLA TERME</t>
  </si>
  <si>
    <t>ATO 4 - PESCARA</t>
  </si>
  <si>
    <t>S.EC.AM. S.P.A.</t>
  </si>
  <si>
    <t>ATO 3 - PELIGNO ALTO SANGRO</t>
  </si>
  <si>
    <t>ATO 2 - MARSICANO</t>
  </si>
  <si>
    <t>COMUNE DI VANDOIES</t>
  </si>
  <si>
    <t>ATO 1 - AQUILANO</t>
  </si>
  <si>
    <t>COMUNE DI FROSOLONE</t>
  </si>
  <si>
    <t>ATO 5 - LAZIO MERIDIONALE FROSINONE</t>
  </si>
  <si>
    <t>ACQUAMBIENTE MARCHE SRL</t>
  </si>
  <si>
    <t>ATO 4 - LAZIO MERIDIONALE LATINA</t>
  </si>
  <si>
    <t>Marche Multiservizi S.p.A.</t>
  </si>
  <si>
    <t>ATO 3 - LAZIO CENTRALE RIETI</t>
  </si>
  <si>
    <t>ATO 2 - LAZIO CENTRALE ROMA</t>
  </si>
  <si>
    <t>COMUNE DI ISERA</t>
  </si>
  <si>
    <t>ATO 1 - LAZIO NORD VITERBO</t>
  </si>
  <si>
    <t>ATO 5 - MARCHE SUD ASCOLI PICENO</t>
  </si>
  <si>
    <t>LARIO RETI HOLDING</t>
  </si>
  <si>
    <t>ATO 4 - MARCHE SUD ALTO PICENO MACERATESE</t>
  </si>
  <si>
    <t>COMUNE DI VEZZA D'OGLIO</t>
  </si>
  <si>
    <t>ATO 3 - MARCHE CENTRO MACERATA</t>
  </si>
  <si>
    <t>ATO 2 - MARCHE CENTRO ANCONA</t>
  </si>
  <si>
    <t>ATO 1 - MARCHE NORD PESARO E URBINO</t>
  </si>
  <si>
    <t>VALLE UMBRA SERVIZI S.P.A.</t>
  </si>
  <si>
    <t>AIMAG S.P.A.</t>
  </si>
  <si>
    <t>ASTEA SPA</t>
  </si>
  <si>
    <t>Comune di Nalles</t>
  </si>
  <si>
    <t>ATO 6 - OMBRONE (GROSSETO)</t>
  </si>
  <si>
    <t>NOVARETI SPA</t>
  </si>
  <si>
    <t>ATO 5 - TOSCANA COSTA</t>
  </si>
  <si>
    <t>ASM VERCELLI SPA</t>
  </si>
  <si>
    <t>ATO 4 - ALTO VALDARNO (AREZZO)</t>
  </si>
  <si>
    <t>ATO 3 - MEDIO VALDARNO (FIRENZE)</t>
  </si>
  <si>
    <t>ATO 2 - BASSO VALDARNO (PISA)</t>
  </si>
  <si>
    <t>ATO 1 - TOSCANA NORD</t>
  </si>
  <si>
    <t>ALTO GARDA SERVIZI SPA</t>
  </si>
  <si>
    <t>ATO 9 - RIMINI</t>
  </si>
  <si>
    <t>AcegasApsAmga S.p.A.</t>
  </si>
  <si>
    <t>HERA S.P.A.</t>
  </si>
  <si>
    <t>ATO 7 - RAVENNA</t>
  </si>
  <si>
    <t>COMUNE DI JELSI</t>
  </si>
  <si>
    <t>ATO 6 - FERRARA</t>
  </si>
  <si>
    <t>ATO 5 - BOLOGNA</t>
  </si>
  <si>
    <t>ASM TIONE - AZIENDA SERVIZI MUNICIPALIZZATI</t>
  </si>
  <si>
    <t>ATO 4 - MODENA</t>
  </si>
  <si>
    <t>COMUNE DI SLUDERNO</t>
  </si>
  <si>
    <t>ATO 3 - REGGIO NELL'EMILIA</t>
  </si>
  <si>
    <t>A.S.A. - AZIENDA SERVIZI AMBIENTALI SPA</t>
  </si>
  <si>
    <t>ATO 2 - PARMA</t>
  </si>
  <si>
    <t>ATO 1 - PIACENZA</t>
  </si>
  <si>
    <t>Comune di Corvara in Badia</t>
  </si>
  <si>
    <t>COMUNE DI ANDALO</t>
  </si>
  <si>
    <t>ATO VO - VENETO ORIENTALE</t>
  </si>
  <si>
    <t>ASET S.P.A.</t>
  </si>
  <si>
    <t>ATO VC - VALLE DEL CHIAMPO</t>
  </si>
  <si>
    <t>ATO V - VERONA</t>
  </si>
  <si>
    <t>SEAB - SERVIZI ENERGIA AMBIENTE BOLZANO S.P.A. / SEAB - ENERGIE- UMWELTBETRIEBE BOZEN A.G.</t>
  </si>
  <si>
    <t>ATO P - POLESINE</t>
  </si>
  <si>
    <t>ATO LV - LAGUNA DI VENEZIA</t>
  </si>
  <si>
    <t>ATO BR - BRENTA</t>
  </si>
  <si>
    <t>ATO B - BACCHIGLIONE</t>
  </si>
  <si>
    <t>ATO AV - ALTO VENETO</t>
  </si>
  <si>
    <t>ATO MB - MONZA E DELLA BRIANZA</t>
  </si>
  <si>
    <t>COMUNE DI CASTEL DEL MONTE</t>
  </si>
  <si>
    <t>ATO VA - VARESE</t>
  </si>
  <si>
    <t>AMEA S.P.A.</t>
  </si>
  <si>
    <t>ATO SO - SONDRIO</t>
  </si>
  <si>
    <t>COMUNE DI FRANCAVILLA DI SICILIA</t>
  </si>
  <si>
    <t>ATO PV - PAVIA</t>
  </si>
  <si>
    <t>ATO MN - MANTOVA</t>
  </si>
  <si>
    <t>COMUNE DI CASTIGLIONE DI SICILIA</t>
  </si>
  <si>
    <t>COMUNE DI ANVERSA DEGLI ABRUZZI</t>
  </si>
  <si>
    <t>ATO LO - LODI</t>
  </si>
  <si>
    <t>COMUNE DI AVIO</t>
  </si>
  <si>
    <t>ATO LC - LECCO</t>
  </si>
  <si>
    <t>A.S.SE.M. SPA</t>
  </si>
  <si>
    <t>ATO CR - CREMONA</t>
  </si>
  <si>
    <t>COMUNE DI FAI DELLA PAGANELLA</t>
  </si>
  <si>
    <t>ATO CO - COMO</t>
  </si>
  <si>
    <t>COMUNE DI PALU' DEL FERSINA</t>
  </si>
  <si>
    <t>ATO BS - BRESCIA</t>
  </si>
  <si>
    <t>ATO BG - BERGAMO</t>
  </si>
  <si>
    <t>COMUNE DI BARETE</t>
  </si>
  <si>
    <t>ATO VALLE D'AOSTA</t>
  </si>
  <si>
    <t>ATO 6 - ALESSANDRIA</t>
  </si>
  <si>
    <t>ATO 5 - ASTIGIANO, MONFERRATO</t>
  </si>
  <si>
    <t>ATO 4 - CUNEO</t>
  </si>
  <si>
    <t>ATO 3 - TORINO</t>
  </si>
  <si>
    <t>COMUNE DI VERMIGLIO</t>
  </si>
  <si>
    <t>ATO 2 - BIELLESE, VERCELLESE, CASALESE</t>
  </si>
  <si>
    <t>SOGIP S.R.L.</t>
  </si>
  <si>
    <t>ATO 1 - VERBANO-CUSIO-OSSOLA E PIANURA NOVARESE</t>
  </si>
  <si>
    <t>AZIENDA PUBBLISERVIZI BRUNICO</t>
  </si>
  <si>
    <r>
      <t>∑W</t>
    </r>
    <r>
      <rPr>
        <vertAlign val="subscript"/>
        <sz val="11"/>
        <color theme="1"/>
        <rFont val="Calibri"/>
        <family val="2"/>
        <scheme val="minor"/>
      </rPr>
      <t>IN</t>
    </r>
  </si>
  <si>
    <r>
      <t>∑W</t>
    </r>
    <r>
      <rPr>
        <vertAlign val="subscript"/>
        <sz val="11"/>
        <color theme="1"/>
        <rFont val="Calibri"/>
        <family val="2"/>
        <scheme val="minor"/>
      </rPr>
      <t>OUT</t>
    </r>
  </si>
  <si>
    <t>Elenco schede (cliccare sul titolo per andare alla scheda corrispondente):</t>
  </si>
  <si>
    <t>Volumi di utenza effettivamente misurati (consumi annui derivanti da letture o autoletture validate già effettuate al 31 gennaio dell'anno a+1)</t>
  </si>
  <si>
    <t>Volumi di processo effettivamente misurati (volumi annui derivanti da letture validate già effettuate al 31 gennaio dell'anno a+1)</t>
  </si>
  <si>
    <t>Quesito riferito al 31 dicembre di ogni anno</t>
  </si>
  <si>
    <t>Non è la somma dei "di cui" sottostanti</t>
  </si>
  <si>
    <t>Eventualmente specificare in relazione</t>
  </si>
  <si>
    <t>Numero campioni (da controlli interni) effettuati in distribuzione a valle di eventuali impianti di potabilizzazione</t>
  </si>
  <si>
    <t>Volume di acqua (prelevata dall’ambiente o importata) immesso negli impianti di potabilizzazione, è esclusa l’acqua sottoposta alla sola disinfezione</t>
  </si>
  <si>
    <t>Solo rete principale di distribuzione, escluse le derivazioni d’utenza. Da considerare solo i distretti permanenti</t>
  </si>
  <si>
    <t>di cui con età di posa 31-40 anni</t>
  </si>
  <si>
    <t>Numero complessivo di impianti di depurazione con sezione di essiccamento dei fanghi</t>
  </si>
  <si>
    <t>Numero complessivo di impianti di depurazione con digestione anaerobica nella linea di trattamento fanghi</t>
  </si>
  <si>
    <t>di cui con età di posa 41-50 anni</t>
  </si>
  <si>
    <t xml:space="preserve">Gli utenti interessati si contano tante volte quanti sono i mancati rispetti dello standard con diritto all'indennizzo automatico </t>
  </si>
  <si>
    <t>Sommatoria degli utenti finali (compresi utenti indiretti) con diritto all'indennizzo automatico per S1</t>
  </si>
  <si>
    <t>Sommatoria degli utenti finali (compresi utenti indiretti) con diritto all'indennizzo automatico per S2</t>
  </si>
  <si>
    <t>Sommatoria degli utenti finali (compresi utenti indiretti) con diritto all'indennizzo automatico per S3</t>
  </si>
  <si>
    <r>
      <t xml:space="preserve">Gli utenti interessati si contano tante volte quanti sono i mancati rispetti dello standard - </t>
    </r>
    <r>
      <rPr>
        <u/>
        <sz val="10"/>
        <rFont val="Calibri"/>
        <family val="2"/>
        <scheme val="minor"/>
      </rPr>
      <t>includere anche i casi per cui il gestore non è tenuto a corrispondere l'indennizzo (motivare in relazione)</t>
    </r>
  </si>
  <si>
    <t>Indicare lo sviluppo lineare totale delle condotte di allaccio, ovvero la somma delle lunghezze di tutte le condotte dallo stacco dalla rete principale al punto di consegna dell'acquedotto</t>
  </si>
  <si>
    <t>ID ATO</t>
  </si>
  <si>
    <t>ID ARERA Gestore</t>
  </si>
  <si>
    <t>Comune di Castello - Molina di Fiemme</t>
  </si>
  <si>
    <t>COMUNE DI PARCINES</t>
  </si>
  <si>
    <t>COMUNE DI BESENELLO</t>
  </si>
  <si>
    <t>ATO MI - Città Metropolitana di Milano</t>
  </si>
  <si>
    <t>VIVA Servizi SpA</t>
  </si>
  <si>
    <t>ATO NL - TRENTO</t>
  </si>
  <si>
    <t>ATO BOLZANO</t>
  </si>
  <si>
    <t>ATO PUSTERIA</t>
  </si>
  <si>
    <t>ATO VAL VENOSTA</t>
  </si>
  <si>
    <t>ATO VALLE ISARCO</t>
  </si>
  <si>
    <t>COMUNE DI MOLVENO</t>
  </si>
  <si>
    <t>ATO Centro-Est (GENOVA)</t>
  </si>
  <si>
    <t>ATO Ovest (IMPERIA)</t>
  </si>
  <si>
    <t>ATO Est (LA SPEZIA)</t>
  </si>
  <si>
    <t>ATO Centro-Ovest 1 (SAVONA)</t>
  </si>
  <si>
    <t>ATO Centro-Ovest 2 (SAVONA)</t>
  </si>
  <si>
    <t>ATO 8 - FORLI'-CESENA</t>
  </si>
  <si>
    <t>AMBITO DISTRETTUALE NAPOLI</t>
  </si>
  <si>
    <t>COMUNE DI USSITA</t>
  </si>
  <si>
    <t>AMBITO DISTRETTUALE SELE</t>
  </si>
  <si>
    <t>COMUNE DI FIUMEFREDDO DI SICILIA</t>
  </si>
  <si>
    <t>AMBITO DISTRETTUALE SARNESE-VESUVIANO</t>
  </si>
  <si>
    <t>AMBITO DISTRETTUALE CASERTA - TERRA DI LAVORO</t>
  </si>
  <si>
    <t>ATO UNICO REGIONE CALABRIA</t>
  </si>
  <si>
    <t>ATO SARDEGNA</t>
  </si>
  <si>
    <t>COMUNE DI TESERO</t>
  </si>
  <si>
    <t>COMUNE DI LACES</t>
  </si>
  <si>
    <t>Comune di Naz-Sciaves</t>
  </si>
  <si>
    <t>Comune di Lagundo</t>
  </si>
  <si>
    <t>Gemeinde Villnöß / Comune di Funes</t>
  </si>
  <si>
    <t>COMUNE DI MIGNANO MONTE LUNGO</t>
  </si>
  <si>
    <t>COMUNE DI PESCOPENNATARO</t>
  </si>
  <si>
    <t>COMUNE DI ACI CASTELLO</t>
  </si>
  <si>
    <t>GORI S.p.A.</t>
  </si>
  <si>
    <t>Realizzazione e gestione servizi pubblici locali spa, per brevità COGEIDE spa</t>
  </si>
  <si>
    <t>Comune di ROTONDI</t>
  </si>
  <si>
    <t>COMUNE DI PETTORANELLO DEL MOLISE</t>
  </si>
  <si>
    <t>Comune di Santa Maria Capua Vetere</t>
  </si>
  <si>
    <t>COMUNE DI TERZOLAS</t>
  </si>
  <si>
    <t>Comune di Soraga di Fassa</t>
  </si>
  <si>
    <t>Comune di Pelugo</t>
  </si>
  <si>
    <t>Comune di Carrosio</t>
  </si>
  <si>
    <t>Comune di Mercogliano</t>
  </si>
  <si>
    <t>COMUNE DI VALLARSA</t>
  </si>
  <si>
    <t>COMUNE DI BRUSSON</t>
  </si>
  <si>
    <t>Comune di Ton</t>
  </si>
  <si>
    <t>Comune di Martello</t>
  </si>
  <si>
    <t>Comune di Cermes</t>
  </si>
  <si>
    <t>Comune di Ponte Gardena</t>
  </si>
  <si>
    <t>COMUNE DI POSTAL</t>
  </si>
  <si>
    <t>Comune di Caines</t>
  </si>
  <si>
    <t>Comune di Valle Aurina</t>
  </si>
  <si>
    <t>COMUNE DI CORTACCIA SULLA STRADA DEL VINO</t>
  </si>
  <si>
    <t>Comune Campo di Trens</t>
  </si>
  <si>
    <t>Comune di Villandro</t>
  </si>
  <si>
    <t>Comune di Varna</t>
  </si>
  <si>
    <t>COMUNE DI SOVER</t>
  </si>
  <si>
    <t>Comune di Braies</t>
  </si>
  <si>
    <t>Comune Valle di Casies</t>
  </si>
  <si>
    <t>COMUNE DI MONTJOVET</t>
  </si>
  <si>
    <t>Comune di Laion - Gemeinde Lajen</t>
  </si>
  <si>
    <t>COMUNE DI CARINARO</t>
  </si>
  <si>
    <t>Comune di Avellino</t>
  </si>
  <si>
    <t>COMUNE DI CASTELLO DEL MATESE</t>
  </si>
  <si>
    <t>COMUNE DI SANT'ANGELO ALL'ESCA</t>
  </si>
  <si>
    <t>COMUNE DI SALVITELLE</t>
  </si>
  <si>
    <t>COMUNE DI ATRIPALDA</t>
  </si>
  <si>
    <t>COMUNE DI LOCATE VARESINO</t>
  </si>
  <si>
    <t>COMUNE DI SAN MARCO DEI CAVOTI</t>
  </si>
  <si>
    <t>COMUNE DI OLIVETTA SAN MICHELE</t>
  </si>
  <si>
    <t>COMUNE DI LONGANO</t>
  </si>
  <si>
    <t>comune di casalciprano</t>
  </si>
  <si>
    <t>COMUNE DI PIETRACUPA</t>
  </si>
  <si>
    <t>COMUNE DI TUFARA</t>
  </si>
  <si>
    <t>COMUNE DI BELMONTE DEL SANNIO</t>
  </si>
  <si>
    <t>COMUNE DI MONACILIONI</t>
  </si>
  <si>
    <t>COMUNE DI MATRICE</t>
  </si>
  <si>
    <t>COMUNE DI SANT'ANDREA DI CONZA</t>
  </si>
  <si>
    <t>COMUNE DI BERGOLO</t>
  </si>
  <si>
    <t>COMUNE DI CESA</t>
  </si>
  <si>
    <t>Comune di Maddaloni</t>
  </si>
  <si>
    <t>COMUNE DI SIDERNO</t>
  </si>
  <si>
    <t>Comune di Curti</t>
  </si>
  <si>
    <t>COMUNE DI CUSANO MUTRI</t>
  </si>
  <si>
    <t>Comune di Quindici</t>
  </si>
  <si>
    <t>COMUNE DI FRATTAMINORE</t>
  </si>
  <si>
    <t>Comune di Parolise</t>
  </si>
  <si>
    <t>COMUNE DI LIBERI</t>
  </si>
  <si>
    <t>COMUNE DI MONTALBANO ELICONA</t>
  </si>
  <si>
    <t>comune bocchigliero</t>
  </si>
  <si>
    <t>PIAVE SERVIZI S.P.A.</t>
  </si>
  <si>
    <t>COMUNE DI MAIERATO</t>
  </si>
  <si>
    <t>Comune di Ricadi</t>
  </si>
  <si>
    <t>COMUNE DI FABRIZIA</t>
  </si>
  <si>
    <t>COMUNE  di  ARZANO</t>
  </si>
  <si>
    <t>COMUNE DI ROCCAMENA</t>
  </si>
  <si>
    <t>COMUNE DI ALTO RENO TERME</t>
  </si>
  <si>
    <t>Comune di Fanano</t>
  </si>
  <si>
    <t>comune di belmonte mezzagno</t>
  </si>
  <si>
    <t>COMUNE DI CAMPOFIORITO</t>
  </si>
  <si>
    <t>COMUNE DI CINISI</t>
  </si>
  <si>
    <t>COMUNE DI RASSA</t>
  </si>
  <si>
    <t>Comune di Altofonte</t>
  </si>
  <si>
    <t>COMUNE DI TRABIA</t>
  </si>
  <si>
    <t>COMUNE DI RAMACCA</t>
  </si>
  <si>
    <t>COMUNE DI GADONI</t>
  </si>
  <si>
    <t>COMUNE DI PACECO</t>
  </si>
  <si>
    <t>COMUNE DI VINADIO</t>
  </si>
  <si>
    <t>COMUNE DI SAN GIACOMO DEGLI SCHIAVONI</t>
  </si>
  <si>
    <t>Comune di Montelepre</t>
  </si>
  <si>
    <t>COMUNE DI VALLELONGA</t>
  </si>
  <si>
    <t>comune di Librizzi</t>
  </si>
  <si>
    <t>COMUNE DI SINAGRA</t>
  </si>
  <si>
    <t>Comune di Furci Siculo</t>
  </si>
  <si>
    <t>comune di candidoni</t>
  </si>
  <si>
    <t>Comune di Ustica</t>
  </si>
  <si>
    <t>Comune di Mandanici</t>
  </si>
  <si>
    <t>Comune di  Gibellina</t>
  </si>
  <si>
    <t>Comune di Venetico</t>
  </si>
  <si>
    <t>COMUNE DI CASIGNANA</t>
  </si>
  <si>
    <t>COMUNE DI UCRIA</t>
  </si>
  <si>
    <t>COMUNE DI PETTINEO</t>
  </si>
  <si>
    <t>COMUNE DI MARSALA</t>
  </si>
  <si>
    <t>Comune di Tortora</t>
  </si>
  <si>
    <t>COMUNE DI VITA</t>
  </si>
  <si>
    <t>comune di biccari</t>
  </si>
  <si>
    <t>COMUNE DI ROVITO</t>
  </si>
  <si>
    <t>COMUNE DI MARANO PRINCIPATO</t>
  </si>
  <si>
    <t>COMUNE DI FAETO</t>
  </si>
  <si>
    <t>COMUNE DI MISTRETTA</t>
  </si>
  <si>
    <t>Comune di Palazzo Adriano</t>
  </si>
  <si>
    <t>CONSORZIO BELLOLAMPO</t>
  </si>
  <si>
    <t>COMUNE DI CARONIA</t>
  </si>
  <si>
    <t>Comune di Cervicati</t>
  </si>
  <si>
    <t>COMUNE DI CAMPOFELICE DI ROCCELLA</t>
  </si>
  <si>
    <t>COMUNE DI PANETTIERI</t>
  </si>
  <si>
    <t>COMUNE SAN PIETRO IN GUARANO</t>
  </si>
  <si>
    <t>COMUNE DI MONGRASSANO</t>
  </si>
  <si>
    <t>Comune di Scigliano</t>
  </si>
  <si>
    <t>Comune di Firmo</t>
  </si>
  <si>
    <t>COMUNE DI SANTA DOMENICA TALAO</t>
  </si>
  <si>
    <t>COMUNE DI MONTEGIORDANO</t>
  </si>
  <si>
    <t>Comune di Argusto</t>
  </si>
  <si>
    <t>Comune di Sellia</t>
  </si>
  <si>
    <t>Comune di San Giorgio Morgeto</t>
  </si>
  <si>
    <t>Comune di Paterno Calabro</t>
  </si>
  <si>
    <t>COMUNE DI CASTIGLIONE COSENTINO</t>
  </si>
  <si>
    <t>COMUNE DI PARGHELIA</t>
  </si>
  <si>
    <t>COMUNE DI BORGIA</t>
  </si>
  <si>
    <t>COMUNE DI ZUNGOLI</t>
  </si>
  <si>
    <t>COMUNE DI MERI'</t>
  </si>
  <si>
    <t>comune di mormanno</t>
  </si>
  <si>
    <t>COMUNE DI ROTA GRECA</t>
  </si>
  <si>
    <t>Comune di Taurianova</t>
  </si>
  <si>
    <t>Comune di Calvizzano</t>
  </si>
  <si>
    <t>COMUNE DI CASAL DI PRINCIPE</t>
  </si>
  <si>
    <t>Comune di Polizzi Generosa</t>
  </si>
  <si>
    <t>comune di Castel di Sasso</t>
  </si>
  <si>
    <t>Comune Capriati a Volturno</t>
  </si>
  <si>
    <t>Comune di Sellia Marina</t>
  </si>
  <si>
    <t>COMUNE DI GIOIA TAURO</t>
  </si>
  <si>
    <t>Comune di Milo</t>
  </si>
  <si>
    <t>Comune di Cetraro</t>
  </si>
  <si>
    <t>Comune di Settingiano</t>
  </si>
  <si>
    <t>Comune di Ragalna</t>
  </si>
  <si>
    <t>COMUNE DI TORRE LE NOCELLE</t>
  </si>
  <si>
    <t>Consorzio per la Depurazione dei Liquami Tra i Comuni di Giarre Riposto Mascali Fiumefreddo di Sicilia Sant'Alfio</t>
  </si>
  <si>
    <t>COMUNE DI MILAZZO</t>
  </si>
  <si>
    <t>COMUNE DI CAIANELLO</t>
  </si>
  <si>
    <t>Comune di Rota d'Imagna</t>
  </si>
  <si>
    <t>COMUNE DI MANIACE</t>
  </si>
  <si>
    <t>COMUNE DI TAORMINA</t>
  </si>
  <si>
    <t>comune di solopaca</t>
  </si>
  <si>
    <t>Comune di Torre di Ruggiero</t>
  </si>
  <si>
    <t>comune di casavatore</t>
  </si>
  <si>
    <t>AQUA CONSULT TRATTAMENTO ACQUE</t>
  </si>
  <si>
    <t>Comune di Chiaravalle Centrale</t>
  </si>
  <si>
    <t>COMUNE DI LAINO CASTELLO</t>
  </si>
  <si>
    <t>COMUNE DI SAVA</t>
  </si>
  <si>
    <t>Comune di Gricignano di Aversa</t>
  </si>
  <si>
    <t>COMUNE DI CASTROVILLARI</t>
  </si>
  <si>
    <t>Comune di Casali del Manco</t>
  </si>
  <si>
    <t>Comune di San Marcellino</t>
  </si>
  <si>
    <t>COMUNE DI CAPODRISE</t>
  </si>
  <si>
    <t>COMUNE DI SAN NICOLA LA STRADA</t>
  </si>
  <si>
    <t>COMUNE DI TRENTOLA DUCENTA</t>
  </si>
  <si>
    <t>COMUNE DI MACERATA CAMPANIA</t>
  </si>
  <si>
    <t>Comune di Scalea</t>
  </si>
  <si>
    <t>COMUNE DI CRISPANO</t>
  </si>
  <si>
    <t>CONSORZIO ACQUA POTABILE DI SAGLIANO MICCA</t>
  </si>
  <si>
    <t>COMUNE DI SAN PRISCO</t>
  </si>
  <si>
    <t>Comune di Panni</t>
  </si>
  <si>
    <t>COMUNE DI CAMPERTOGNO</t>
  </si>
  <si>
    <t>Comune di Viagrande</t>
  </si>
  <si>
    <t>COMUNE DI CAPIZZI</t>
  </si>
  <si>
    <t>COMUNE DI MONTORO</t>
  </si>
  <si>
    <t>Comune di Cesarò</t>
  </si>
  <si>
    <t>COMUNE DI CAPO D'ORLANDO</t>
  </si>
  <si>
    <t>COMUNE DI CASTELVETRANO</t>
  </si>
  <si>
    <t>Comune di Succivo</t>
  </si>
  <si>
    <t>COMUNE DI GIOIOSA IONICA</t>
  </si>
  <si>
    <t>COMUNE DI CARAFFA DEL BIANCO</t>
  </si>
  <si>
    <t>COMUNE DI GUARDIA PIEMONTESE</t>
  </si>
  <si>
    <t>comune di partanna</t>
  </si>
  <si>
    <t>Comune di Pago Veiano</t>
  </si>
  <si>
    <t>COMUNE DI FRANCOLISE</t>
  </si>
  <si>
    <t>COMUNE DI POLISTENA</t>
  </si>
  <si>
    <t>Comune di Soveria Simeri</t>
  </si>
  <si>
    <t>COMUNE DI MELICUCCO</t>
  </si>
  <si>
    <t>COMUNE DI ANTILLO (ME)</t>
  </si>
  <si>
    <t>COMUNE DI DELIANUOVA</t>
  </si>
  <si>
    <t>COMUNE DI MUGNANO DI NAPOLI</t>
  </si>
  <si>
    <t>COMUNE DI CARAFFA DI CATANZARO</t>
  </si>
  <si>
    <t>Comune di Campobello di Mazara</t>
  </si>
  <si>
    <t>COMUNE DI OPPIDO MAMERTINA</t>
  </si>
  <si>
    <t>COMUNE DI SPORMINORE</t>
  </si>
  <si>
    <t>COMUNE DI CINQUEFRONDI</t>
  </si>
  <si>
    <t>COMUNE DI SCILLA</t>
  </si>
  <si>
    <t>COMUNE DI TERRANOVA DA SIBARI</t>
  </si>
  <si>
    <t>COMUNE DI SERRASTRETTA</t>
  </si>
  <si>
    <t>COMUNE DI VILLARICCA</t>
  </si>
  <si>
    <t>COMUNE DI CROSIA</t>
  </si>
  <si>
    <t>Comune di Capistrano</t>
  </si>
  <si>
    <t>COMUNE DI SAN GIOVANNI IN FIORE</t>
  </si>
  <si>
    <t>COMUNE DI SOVERATO</t>
  </si>
  <si>
    <t>COMUNE DI GIMIGLIANO</t>
  </si>
  <si>
    <t>COMUNE DI SALEMI</t>
  </si>
  <si>
    <t>COMUNE DI MIRABELLA ECLANO</t>
  </si>
  <si>
    <t>COMUNE DI SANT'ALESSIO IN ASPROMONTE</t>
  </si>
  <si>
    <t>Comune di Cosenza</t>
  </si>
  <si>
    <t>COMUNE DI BUSSO</t>
  </si>
  <si>
    <t>Comune di Teverola</t>
  </si>
  <si>
    <t>COMUNE DI BELVEDERE MARITTIMO</t>
  </si>
  <si>
    <t>COMUNE DI CASTELLANA SICULA</t>
  </si>
  <si>
    <t>COMUNE DI SARACENA</t>
  </si>
  <si>
    <t>COMUNE DI SAINT-VINCENT</t>
  </si>
  <si>
    <t>COMUNE DI MONTALTO UFFUGO</t>
  </si>
  <si>
    <t>comune di pizzo</t>
  </si>
  <si>
    <t>COMUNE DI SAN MARCO ARGENTANO</t>
  </si>
  <si>
    <t>comune di Santa Caterina Albanese</t>
  </si>
  <si>
    <t>COMUNE DI PALOMONTE</t>
  </si>
  <si>
    <t>COMUNE DI ROSE</t>
  </si>
  <si>
    <t>COMUNE DI SAN SOSTI</t>
  </si>
  <si>
    <t>COMUNE DI ROGGIANO GRAVINA</t>
  </si>
  <si>
    <t>COMUNE DI MOLOCHIO</t>
  </si>
  <si>
    <t>COMUNE DI ACQUEDOLCI</t>
  </si>
  <si>
    <t>Comune di Frascineto</t>
  </si>
  <si>
    <t>COMUNE DI PIANOPOLI</t>
  </si>
  <si>
    <t>Comune di Grottaminarda</t>
  </si>
  <si>
    <t>COMUNE DI ACRI</t>
  </si>
  <si>
    <t>COMUNE DI MONTEBELLO JONICO</t>
  </si>
  <si>
    <t>COMUNE DI PIETRAFITTA</t>
  </si>
  <si>
    <t>COMUNE DI VILLAFRATI</t>
  </si>
  <si>
    <t>COMUNE DI ZUMPANO</t>
  </si>
  <si>
    <t>Comune di Avola</t>
  </si>
  <si>
    <t>Comune di Trebisacce</t>
  </si>
  <si>
    <t>COMUNE DI PETROSINO</t>
  </si>
  <si>
    <t>COMUNE DI MOTTAFOLLONE</t>
  </si>
  <si>
    <t>COMUNE DI SACCO</t>
  </si>
  <si>
    <t>Comune di Montecilfone</t>
  </si>
  <si>
    <t>COMUNE DI MALVITO</t>
  </si>
  <si>
    <t>COMUNE DI LUSTRA</t>
  </si>
  <si>
    <t>COMUNE DI MENDICINO</t>
  </si>
  <si>
    <t>Comune di Sant'Onofrio</t>
  </si>
  <si>
    <t>COMUNE DI CORIGLIANO-ROSSANO</t>
  </si>
  <si>
    <t>COMUNE DI FALCONE</t>
  </si>
  <si>
    <t>COMUNE DI ERICE</t>
  </si>
  <si>
    <t>COMUNE DI CELLOLE</t>
  </si>
  <si>
    <t>Comune di Caivano</t>
  </si>
  <si>
    <t>COMUNE DI CARLOPOLI</t>
  </si>
  <si>
    <t>COMUNE DI ARIANO IRPINO</t>
  </si>
  <si>
    <t>COMUNE DI CAPACCIO PAESTUM</t>
  </si>
  <si>
    <t>COMUNE DI LAURINO</t>
  </si>
  <si>
    <t>COMUNE DI FALCONARA ALBANESE</t>
  </si>
  <si>
    <t>COMUNE DI CORVARA</t>
  </si>
  <si>
    <t>Comune di Girifalco</t>
  </si>
  <si>
    <t>Comune di Mazara del Vallo</t>
  </si>
  <si>
    <t>COMUNE DI AMANTEA</t>
  </si>
  <si>
    <t>COMUNE DI OLIVERI</t>
  </si>
  <si>
    <t>COMUNE DI SAN VALENTINO IN ABRUZZO CITERIORE</t>
  </si>
  <si>
    <t>COMUNE DI BAGALADI</t>
  </si>
  <si>
    <t>COMUNE DI CROPALATI</t>
  </si>
  <si>
    <t>COMUNE DI SANT'AGATA DI ESARO</t>
  </si>
  <si>
    <t>Comune di Patti</t>
  </si>
  <si>
    <t>COMUNE DI PERTICA BASSA</t>
  </si>
  <si>
    <t>COMUNE DI CELICO</t>
  </si>
  <si>
    <t>COMUNE DI SAN DONATO DI NINEA</t>
  </si>
  <si>
    <t>COMUNE DI CRUCOLI</t>
  </si>
  <si>
    <t>COMUNE DI ALI' TERME</t>
  </si>
  <si>
    <t>COMUNE DI SOLARINO</t>
  </si>
  <si>
    <t>COMUNE DI FERRUZZANO</t>
  </si>
  <si>
    <t>comune di Platania</t>
  </si>
  <si>
    <t>COMUNE DI RIONERO SANNITICO</t>
  </si>
  <si>
    <t>COMUNE DI LAGO</t>
  </si>
  <si>
    <t>COMUNE DI SANT'EUFEMIA A MAIELLA</t>
  </si>
  <si>
    <t>comune di villamaina</t>
  </si>
  <si>
    <t>COMUNE DI CERZETO</t>
  </si>
  <si>
    <t>COMUNE DI GERACE</t>
  </si>
  <si>
    <t>Comune di Santo Stefano Quisquina</t>
  </si>
  <si>
    <t>Comune di Giustenice</t>
  </si>
  <si>
    <t>COMUNE DI ONZO</t>
  </si>
  <si>
    <t>Comune di Gizzeria</t>
  </si>
  <si>
    <t>COMUNE DI TORANO CASTELLO</t>
  </si>
  <si>
    <t>COMUNE DI FEROLETO ANTICO</t>
  </si>
  <si>
    <t>COMUNE DI MARTIRANO LOMBARDO</t>
  </si>
  <si>
    <t>COMUNE DI FICARRA</t>
  </si>
  <si>
    <t>COMUNE DI CITTANOVA</t>
  </si>
  <si>
    <t>COMUNE DI CASTROREGIO</t>
  </si>
  <si>
    <t>COMUNE DI AMARONI</t>
  </si>
  <si>
    <t>Comune di Cerchiara di Calabria</t>
  </si>
  <si>
    <t>comune di gasperina</t>
  </si>
  <si>
    <t>COMUNE SAN PIETRO A MAIDA</t>
  </si>
  <si>
    <t>comune di rombiolo</t>
  </si>
  <si>
    <t>COMUNE DI MACCHIA VALFORTORE</t>
  </si>
  <si>
    <t>COMUNE DI LARINO</t>
  </si>
  <si>
    <t>COMUNE DI GUARDIA LOMBARDI</t>
  </si>
  <si>
    <t>Comune di Basicò</t>
  </si>
  <si>
    <t>COMUNE DI ALTAVILLA SILENTINA</t>
  </si>
  <si>
    <t>COMUNE DI MIGLIERINA</t>
  </si>
  <si>
    <t>COMUNE DI SANTA CRISTINA D'ASPROMONTE</t>
  </si>
  <si>
    <t>COMUNE DI CAMMARATA</t>
  </si>
  <si>
    <t>COMUNE DI CIANCIANA</t>
  </si>
  <si>
    <t>COMUNE  DI  ACERNO</t>
  </si>
  <si>
    <t>COMUNE DI PEDIVIGLIANO</t>
  </si>
  <si>
    <t>COMUNE DI GRIMALDI</t>
  </si>
  <si>
    <t>comune di longobucco</t>
  </si>
  <si>
    <t>Comune di Alessandria della Rocca</t>
  </si>
  <si>
    <t>comune di san marco la catola</t>
  </si>
  <si>
    <t>COMUNE DI SERRATA</t>
  </si>
  <si>
    <t>COMUNE DI PIGNATARO MAGGIORE</t>
  </si>
  <si>
    <t>COMUNE DI SCALA COELI</t>
  </si>
  <si>
    <t>Comune di Terravecchia</t>
  </si>
  <si>
    <t>COMUNE DI CISANO SUL NEVA</t>
  </si>
  <si>
    <t>Comune di Senerchia</t>
  </si>
  <si>
    <t>COMUNE DI MONASTERACE</t>
  </si>
  <si>
    <t>COMUNE DI VARAPODIO</t>
  </si>
  <si>
    <t>COMUNE DI SAN FILI</t>
  </si>
  <si>
    <t>COMUNE DI SAN LORENZO BELLIZZI</t>
  </si>
  <si>
    <t>COMUNE DI LONGOBARDI</t>
  </si>
  <si>
    <t>COMUNE DI PIETRABBONDANTE</t>
  </si>
  <si>
    <t>COMUNE DI SASSELLO</t>
  </si>
  <si>
    <t>CONSORZIO BONIFICA DI PAESTUM</t>
  </si>
  <si>
    <t>VOLTURNO MULTIUTILITY SPA IN LIQUIDAZIONE</t>
  </si>
  <si>
    <t>COMUNE DI ALI'</t>
  </si>
  <si>
    <t>COMUNE DI BIANCHI</t>
  </si>
  <si>
    <t>COMUNE DI BISACQUINO</t>
  </si>
  <si>
    <t>Comune di Sesto Campano</t>
  </si>
  <si>
    <t>COMUNE DI SAN LUCIDO</t>
  </si>
  <si>
    <t>Comune di Rocca Canterano</t>
  </si>
  <si>
    <t>Comune di San Marco Evangelista</t>
  </si>
  <si>
    <t>comune di Petrella Tifernina</t>
  </si>
  <si>
    <t>COMUNE DI FURNARI</t>
  </si>
  <si>
    <t>COMUNE DI MOTTA SANTA LUCIA</t>
  </si>
  <si>
    <t>COMUNE DI CAMERATA NUOVA</t>
  </si>
  <si>
    <t>COMUNE DI CALVANICO</t>
  </si>
  <si>
    <t>COMUNE DI SPEZZANO ALBANESE</t>
  </si>
  <si>
    <t>COMUNE DI CHEREMULE</t>
  </si>
  <si>
    <t>COMUNE DI SANT'ILARIO DELLO IONIO</t>
  </si>
  <si>
    <t>COMUNE DI MONFORTE SAN GIORGIO</t>
  </si>
  <si>
    <t>COMUNE DI ACQUAFORMOSA</t>
  </si>
  <si>
    <t>Consorzio di Bonifica della Basilicata</t>
  </si>
  <si>
    <t>COMUNE DI  CAULONIA</t>
  </si>
  <si>
    <t>COMUNE DI FUSCALDO</t>
  </si>
  <si>
    <t>COMUNE DI GIOIOSA MAREA</t>
  </si>
  <si>
    <t>COMUNE DI CORTALE</t>
  </si>
  <si>
    <t>COMUNE DI MARINA DI GIOIOSA IONICA</t>
  </si>
  <si>
    <t>COMUNE DI SAN GIORGIO ALBANESE</t>
  </si>
  <si>
    <t>comune di castellammare del golfo</t>
  </si>
  <si>
    <t>COMUNE DI SEMINARA</t>
  </si>
  <si>
    <t>COMUNE DI ACQUARO</t>
  </si>
  <si>
    <t>Comune di Samo</t>
  </si>
  <si>
    <t>COMUNE DI TARSIA</t>
  </si>
  <si>
    <t>COMUNE DI BROGNATURO</t>
  </si>
  <si>
    <t>Comune di Martirano</t>
  </si>
  <si>
    <t>COMUNE DI TORTORICI</t>
  </si>
  <si>
    <t>COMUNE DI LUNGRO</t>
  </si>
  <si>
    <t>COMUNE DI CARIATI</t>
  </si>
  <si>
    <t>COMUNE DI CONTESSA ENTELLINA</t>
  </si>
  <si>
    <t>COMUNE DI SAN GIOVANNI DI GERACE</t>
  </si>
  <si>
    <t>COMUNE DI CIRO' MARINA</t>
  </si>
  <si>
    <t>COMUNE DI VAIRANO PATENORA</t>
  </si>
  <si>
    <t>COMUNE DI RIZZICONI</t>
  </si>
  <si>
    <t>COMUNE DI TERME VIGLIATORE</t>
  </si>
  <si>
    <t>COMUNE DI NUSCO</t>
  </si>
  <si>
    <t>COMUNE DI SPADOLA</t>
  </si>
  <si>
    <t>comune di Altomonte</t>
  </si>
  <si>
    <t>COMUNE DI NASO</t>
  </si>
  <si>
    <t>COMUNE DI SAN CALOGERO</t>
  </si>
  <si>
    <t>COMUNE DI VILLAPIANA</t>
  </si>
  <si>
    <t>COMUNE DI SAN FERDINANDO</t>
  </si>
  <si>
    <t>COMUNE DI GUARDAVALLE</t>
  </si>
  <si>
    <t>COMUNE DI SAN TAMMARO</t>
  </si>
  <si>
    <t>Comune di Brolo</t>
  </si>
  <si>
    <t>COMUNE DI CONDOFURI</t>
  </si>
  <si>
    <t>COMUNE DI CURINGA</t>
  </si>
  <si>
    <t>Comune di Rende</t>
  </si>
  <si>
    <t>COMUNE DI MOTTA SAN GIOVANNI</t>
  </si>
  <si>
    <t>COMUNE DI SANTA MARIA DEL MOLISE</t>
  </si>
  <si>
    <t>COMUNE DI BUCCINO</t>
  </si>
  <si>
    <t>comune di botricello</t>
  </si>
  <si>
    <t>COMUNE DI CARCOFORO</t>
  </si>
  <si>
    <t>Comune di San Nicola Manfredi</t>
  </si>
  <si>
    <t>comune Acquaviva d'Isernia</t>
  </si>
  <si>
    <t>COMUNE DI FALERNA</t>
  </si>
  <si>
    <t>COMUNE DI SCAPOLI</t>
  </si>
  <si>
    <t>COMUNE DI MOTTA CAMASTRA</t>
  </si>
  <si>
    <t>Comune di Custonaci</t>
  </si>
  <si>
    <t>comune di montecalvo irpino</t>
  </si>
  <si>
    <t>comune di san vito lo capo</t>
  </si>
  <si>
    <t>Comune di Saponara</t>
  </si>
  <si>
    <t>COMUNE DI SANTA SOFIA D'EPIRO</t>
  </si>
  <si>
    <t>COMUNE DI GALLO MATESE</t>
  </si>
  <si>
    <t>COMUNE DI ROTONDA</t>
  </si>
  <si>
    <t>Comune di San Leucio del Sannio</t>
  </si>
  <si>
    <t>COMUNE DI ROCCALUMERA</t>
  </si>
  <si>
    <t>COMUNE DI LAUREANA DI BORRELLO</t>
  </si>
  <si>
    <t>COMUNE DI CEPPALONI</t>
  </si>
  <si>
    <t>COMUNE DI GIOIA SANNITICA</t>
  </si>
  <si>
    <t>Comune di Cerisano</t>
  </si>
  <si>
    <t>Comune di Soveria Mannelli</t>
  </si>
  <si>
    <t>COMUNE DI MELISSA</t>
  </si>
  <si>
    <t>Comune di Limbadi</t>
  </si>
  <si>
    <t>COMUNE DI ROCCA IMPERIALE</t>
  </si>
  <si>
    <t>comune di nizza di sicilia</t>
  </si>
  <si>
    <t>Comune di Camastra</t>
  </si>
  <si>
    <t>COMUNE DI FAGNANO CASTELLO</t>
  </si>
  <si>
    <t>COMUNE DI MARANO MARCHESATO</t>
  </si>
  <si>
    <t>COMUNE DI TAVERNA</t>
  </si>
  <si>
    <t>COMUNE DI PETRIZZI</t>
  </si>
  <si>
    <t>COMUNE DI SAN PIETRO IN AMANTEA</t>
  </si>
  <si>
    <t>Comune di Riolunato</t>
  </si>
  <si>
    <t>COMUNE DI ISCA SULLO IONIO</t>
  </si>
  <si>
    <t>Comune di Amendolara</t>
  </si>
  <si>
    <t>Comune di Jacurso</t>
  </si>
  <si>
    <t>Comune di Fiumefreddo Bruzio</t>
  </si>
  <si>
    <t>COMUNE DI CESSANITI</t>
  </si>
  <si>
    <t>COMUNE DI FLUMERI</t>
  </si>
  <si>
    <t>COMUNE DI STURNO</t>
  </si>
  <si>
    <t>Comune di  Grotteria</t>
  </si>
  <si>
    <t>COMUNE DI SANT'ANGELO DI BROLO</t>
  </si>
  <si>
    <t>comune di san lorenzo del vallo</t>
  </si>
  <si>
    <t>COMUNE DI CONTRADA</t>
  </si>
  <si>
    <t>COMUNE DI SANT'ALESSIO SICULO</t>
  </si>
  <si>
    <t>Comune di Africo</t>
  </si>
  <si>
    <t>comune di vallata</t>
  </si>
  <si>
    <t>COMUNE DI BIVONA</t>
  </si>
  <si>
    <t>COMUNE DI PERITO</t>
  </si>
  <si>
    <t>comune di montemiletto</t>
  </si>
  <si>
    <t>Comune di Squillace</t>
  </si>
  <si>
    <t>COMUNE DI SAN LORENZO</t>
  </si>
  <si>
    <t>Comune di Felitto</t>
  </si>
  <si>
    <t>COMUNE DI BAIA E LATINA</t>
  </si>
  <si>
    <t>Comune di San Fratello</t>
  </si>
  <si>
    <t>Comune di Serramezzana</t>
  </si>
  <si>
    <t>COMUNE DI BONIFATI</t>
  </si>
  <si>
    <t>COMUNE DI RIACE</t>
  </si>
  <si>
    <t>comune di graniti</t>
  </si>
  <si>
    <t>COMUNE DI CARERI</t>
  </si>
  <si>
    <t>COMUNE DI SANT'ANGELO DEL PESCO</t>
  </si>
  <si>
    <t>COMUNE DI AMOROSI</t>
  </si>
  <si>
    <t>COMUNE DI MAMMOLA</t>
  </si>
  <si>
    <t>comune di stalettì</t>
  </si>
  <si>
    <t>comune di san costantino calabro</t>
  </si>
  <si>
    <t>Comune di Valle di Maddaloni</t>
  </si>
  <si>
    <t>COMUNE DI VALLE DELL'ANGELO</t>
  </si>
  <si>
    <t>COMUNE DI MIOGLIA</t>
  </si>
  <si>
    <t>COMUNE DI CALVI</t>
  </si>
  <si>
    <t>COMUNE DI SORIANO CALABRO</t>
  </si>
  <si>
    <t>Comune di Roccamonfina</t>
  </si>
  <si>
    <t>COMUNE DI MARCELLINARA</t>
  </si>
  <si>
    <t>COMUNE DI GALATRO</t>
  </si>
  <si>
    <t>COMUNE DI SANT'ANNA ARRESI</t>
  </si>
  <si>
    <t>COMUNE DI PATERNOPOLI</t>
  </si>
  <si>
    <t>COMUNE DI DRAPIA</t>
  </si>
  <si>
    <t>COMUNE DI ORIOLO</t>
  </si>
  <si>
    <t>Comune di Sinopoli</t>
  </si>
  <si>
    <t>comune di galluccio</t>
  </si>
  <si>
    <t>COMUNE DI RODI' MILICI</t>
  </si>
  <si>
    <t>comune di simbario</t>
  </si>
  <si>
    <t>COMUNE DI BUONVICINO</t>
  </si>
  <si>
    <t>COMUNE DI VOLTURINO</t>
  </si>
  <si>
    <t>Comune di Feroleto della Chiesa</t>
  </si>
  <si>
    <t>COMUNE DI AGGIUS</t>
  </si>
  <si>
    <t>COMUNE DI SANTOMENNA</t>
  </si>
  <si>
    <t>comune di Andretta</t>
  </si>
  <si>
    <t>COMUNE DI FILANDARI</t>
  </si>
  <si>
    <t>COMUNE DI PRESENZANO</t>
  </si>
  <si>
    <t>COMUNE DI ANOIA</t>
  </si>
  <si>
    <t>COMUNE ROSETO CAPO SPULICO</t>
  </si>
  <si>
    <t>Comune di Giffone</t>
  </si>
  <si>
    <t>Comune di Dinami</t>
  </si>
  <si>
    <t>COMUNE DI LAINO BORGO</t>
  </si>
  <si>
    <t>COMUNE DI GRISOLIA</t>
  </si>
  <si>
    <t>COMUNE FRANCAVILLA ANGITOLA</t>
  </si>
  <si>
    <t>Comune di Francavilla Marittima</t>
  </si>
  <si>
    <t>COMUNE DI PARENTI</t>
  </si>
  <si>
    <t>COMUNE DI GAGLIATO</t>
  </si>
  <si>
    <t>COMUNE DI PIANE CRATI</t>
  </si>
  <si>
    <t>COMUNE DI CALOPEZZATI</t>
  </si>
  <si>
    <t>comune di Sangineto</t>
  </si>
  <si>
    <t>COMUNE DI LOTZORAI</t>
  </si>
  <si>
    <t>COMUNE DI MAZZARRA' SANT'ANDREA</t>
  </si>
  <si>
    <t>comune di Poggioreale</t>
  </si>
  <si>
    <t>COMUNE DI CLETO</t>
  </si>
  <si>
    <t>Comune di Colli a Volturno</t>
  </si>
  <si>
    <t>comune di Novara di sicilia</t>
  </si>
  <si>
    <t>COMUNE DI BELCASTRO</t>
  </si>
  <si>
    <t>COMUNE DI ORSOMARSO</t>
  </si>
  <si>
    <t>comune di caloveto</t>
  </si>
  <si>
    <t>COMUNE DI FILOGASO</t>
  </si>
  <si>
    <t>comune di Maierà</t>
  </si>
  <si>
    <t>COMUNE DI MIRTO</t>
  </si>
  <si>
    <t>COMUNE DI MILITELLO ROSMARINO</t>
  </si>
  <si>
    <t>COMUNE DI PRATA SANNITA</t>
  </si>
  <si>
    <t>COMUNE DI ANTONIMINA</t>
  </si>
  <si>
    <t>COMUNE DI FIUMALBO</t>
  </si>
  <si>
    <t>comune di san pietro di caridà</t>
  </si>
  <si>
    <t>COMUNE DI SAN BENEDETTO ULLANO</t>
  </si>
  <si>
    <t>COMUNE DI MAGISANO</t>
  </si>
  <si>
    <t>COMUNE DI ROCCAVALDINA</t>
  </si>
  <si>
    <t>COMUNE DI MONTAURO</t>
  </si>
  <si>
    <t>COMUNE DI PIZZONI</t>
  </si>
  <si>
    <t>COMUNE DI PIETRAPAOLA</t>
  </si>
  <si>
    <t>Comune di Sorbo San Basile</t>
  </si>
  <si>
    <t>Comune di San Sostene</t>
  </si>
  <si>
    <t>COMUNE DI BELLONA</t>
  </si>
  <si>
    <t>COMUNE DI SAN TEODORO</t>
  </si>
  <si>
    <t>comune di Vazzano</t>
  </si>
  <si>
    <t>COMUNE DI SICIGNANO DEGLI ALBURNI</t>
  </si>
  <si>
    <t>COMUNE DI RUVIANO</t>
  </si>
  <si>
    <t>COMUNE DI ROGHUDI</t>
  </si>
  <si>
    <t>comune di San Basile</t>
  </si>
  <si>
    <t>comune di roccamandolfi</t>
  </si>
  <si>
    <t>COMUNE DI DRAGONI</t>
  </si>
  <si>
    <t>Comune di Rocchetta a Volturno</t>
  </si>
  <si>
    <t>COMUNE DI PORTIGLIOLA</t>
  </si>
  <si>
    <t>comune di fondachelli fantina</t>
  </si>
  <si>
    <t>comune di lupara</t>
  </si>
  <si>
    <t>comune di calabritto</t>
  </si>
  <si>
    <t>COMUNE DI MASSIMINO</t>
  </si>
  <si>
    <t>Comune di Vaccarizzo Albanese</t>
  </si>
  <si>
    <t>Comune di San Martino di Finita</t>
  </si>
  <si>
    <t>Comune di Sorianello</t>
  </si>
  <si>
    <t>Comune di Dasà</t>
  </si>
  <si>
    <t>comune di santa ninfa</t>
  </si>
  <si>
    <t>Comune di Alberona</t>
  </si>
  <si>
    <t>Comune di  San Lupo</t>
  </si>
  <si>
    <t>COMUNE DI OSIGLIA</t>
  </si>
  <si>
    <t>Comune di Santa Marina Salina</t>
  </si>
  <si>
    <t>comune di ottati</t>
  </si>
  <si>
    <t>COMUNE DI CERRO AL VOLTURNO</t>
  </si>
  <si>
    <t>COMUNE DI CAMINI</t>
  </si>
  <si>
    <t>COMUNE DI CANOLO</t>
  </si>
  <si>
    <t>COMUNE DI COSOLETO</t>
  </si>
  <si>
    <t>COMUNE DI FONTEGRECA</t>
  </si>
  <si>
    <t>COMUNE DI CANNA</t>
  </si>
  <si>
    <t>Comune di Letino</t>
  </si>
  <si>
    <t>Comune di Aieta</t>
  </si>
  <si>
    <t>Comune di Domanico</t>
  </si>
  <si>
    <t>comune di zaccanopoli</t>
  </si>
  <si>
    <t>Comune di Malfa</t>
  </si>
  <si>
    <t>COMUNE DI MONGIUFFI MELIA</t>
  </si>
  <si>
    <t>COMUNE DI SAN COSMO ALBANESE</t>
  </si>
  <si>
    <t>COMUNE DI FOSSATO SERRALTA</t>
  </si>
  <si>
    <t>Comune di Raviscanina</t>
  </si>
  <si>
    <t>COMUNE DI TERRANOVA SAPPO MINULIO</t>
  </si>
  <si>
    <t>COMUNE DI PONTINVREA</t>
  </si>
  <si>
    <t>COMUNE DI FORLI' DEL SANNIO</t>
  </si>
  <si>
    <t>COMUNE NOVI VELIA</t>
  </si>
  <si>
    <t>COMUNE DI CASTELMOLA</t>
  </si>
  <si>
    <t>COMUNE DI PAPASIDERO</t>
  </si>
  <si>
    <t>Comune di San Gregorio Matese</t>
  </si>
  <si>
    <t>COMUNE DI VALLE AGRICOLA</t>
  </si>
  <si>
    <t>COMUNE DI MALITO</t>
  </si>
  <si>
    <t>Comune di San Procopio</t>
  </si>
  <si>
    <t>COMUNE DI PALUDI</t>
  </si>
  <si>
    <t>COMUNE DI LONGI</t>
  </si>
  <si>
    <t>COMUNE DI VOLTURARA APPULA</t>
  </si>
  <si>
    <t>comune di civita</t>
  </si>
  <si>
    <t>COMUNE DI SAN PIETRO INFINE</t>
  </si>
  <si>
    <t>COMUNE MONTANO ANTILIA</t>
  </si>
  <si>
    <t>COMUNE DI BOVA</t>
  </si>
  <si>
    <t>COMUNE DI CARPANZANO</t>
  </si>
  <si>
    <t>COMUNE DI LAGANADI</t>
  </si>
  <si>
    <t>comune di sassano</t>
  </si>
  <si>
    <t>COMUNE DI MARCEDUSA</t>
  </si>
  <si>
    <t>COMUNE DI SANTA MARINA</t>
  </si>
  <si>
    <t>COMUNE DI CELLE DI SAN VITO</t>
  </si>
  <si>
    <t>COMUNE DI ROCCAFIORITA</t>
  </si>
  <si>
    <t>COMUNE DI OLIVADI</t>
  </si>
  <si>
    <t>COMUNE DI PLACANICA</t>
  </si>
  <si>
    <t>COMUNE DI FLORESTA</t>
  </si>
  <si>
    <t>COMUNE DI ORRIA</t>
  </si>
  <si>
    <t>comune di castel san lorenzo</t>
  </si>
  <si>
    <t>COMUNE DI ALESSANDRIA DEL CARRETTO</t>
  </si>
  <si>
    <t>COMUNE DI MORIGERATI</t>
  </si>
  <si>
    <t>comune di Pago del Vallo di Lauro</t>
  </si>
  <si>
    <t>COMUNE DI PONTELATONE</t>
  </si>
  <si>
    <t>COMUNE DI SAVOCA</t>
  </si>
  <si>
    <t>Comune di San Sossio Baronia</t>
  </si>
  <si>
    <t>COMUNE DI CENTRACHE</t>
  </si>
  <si>
    <t>comune di cellara</t>
  </si>
  <si>
    <t>Comune di Burgio</t>
  </si>
  <si>
    <t>comune di cenadi</t>
  </si>
  <si>
    <t>COMUNE DI RACCUJA</t>
  </si>
  <si>
    <t>Comune di Caselle in Pittari</t>
  </si>
  <si>
    <t>COMUNE DI SAN POTITO SANNITICO</t>
  </si>
  <si>
    <t>comune di scido</t>
  </si>
  <si>
    <t>comune di umbriatico</t>
  </si>
  <si>
    <t>Comune di Camerota</t>
  </si>
  <si>
    <t>comune di piedimonte matese</t>
  </si>
  <si>
    <t>COMUNE DI ROGLIANO</t>
  </si>
  <si>
    <t>COMUNE DI SCANDALE</t>
  </si>
  <si>
    <t>COMUNE DI ANDALI</t>
  </si>
  <si>
    <t>COMUNE DI VILLANOVA DEL BATTISTA</t>
  </si>
  <si>
    <t>COMUNE DI MONTAGNAREALE</t>
  </si>
  <si>
    <t>COMUNE DI FORMICOLA</t>
  </si>
  <si>
    <t>COMUNE DI LAPIO</t>
  </si>
  <si>
    <t>COMUNE DI SAN POTITO ULTRA</t>
  </si>
  <si>
    <t>comune di Marzano di Nola</t>
  </si>
  <si>
    <t>Comune di Ailano</t>
  </si>
  <si>
    <t>comune di carlantino</t>
  </si>
  <si>
    <t>COMUNE DI SCAMPITELLA</t>
  </si>
  <si>
    <t>COMUNE DI SAVELLI</t>
  </si>
  <si>
    <t>COMUNE DI ROCCAFORTE DEL GRECO</t>
  </si>
  <si>
    <t>COMUNE DI MALVAGNA</t>
  </si>
  <si>
    <t>COMUNE DI SAN SALVATORE DI FITALIA</t>
  </si>
  <si>
    <t>COMUNE DI AMATO</t>
  </si>
  <si>
    <t>COMUNE DI CHAMOIS</t>
  </si>
  <si>
    <t>Comune di Castelsilano</t>
  </si>
  <si>
    <t>COMUNE DI TORGNON</t>
  </si>
  <si>
    <t>COMUNE DI APICE</t>
  </si>
  <si>
    <t>COMUNE DI BUCCIANO</t>
  </si>
  <si>
    <t>COMUNE DI SANT'AGATA DEL BIANCO</t>
  </si>
  <si>
    <t>Comune di Gesualdo</t>
  </si>
  <si>
    <t>COMUNE DI SANTA PAOLINA</t>
  </si>
  <si>
    <t>comune di conca della campania</t>
  </si>
  <si>
    <t>COMUNE DI SANTA CROCE DEL SANNIO</t>
  </si>
  <si>
    <t>Comune di Roccaromana</t>
  </si>
  <si>
    <t>COMUNE DI SPINETO SCRIVIA</t>
  </si>
  <si>
    <t>comune di stignano</t>
  </si>
  <si>
    <t>Comune di Greci</t>
  </si>
  <si>
    <t>Comune di Sant'Arcangelo Trimonte</t>
  </si>
  <si>
    <t>comune di monteverde</t>
  </si>
  <si>
    <t>Comune di Lacedonia</t>
  </si>
  <si>
    <t>COMUNE DI CAMPOLATTARO</t>
  </si>
  <si>
    <t>COMUNE DI ROCCA SAN FELICE</t>
  </si>
  <si>
    <t>COMUNE DI PADULI</t>
  </si>
  <si>
    <t>Comune di San Nicola Baronia</t>
  </si>
  <si>
    <t>COMUNE DI CASTEL DEL GIUDICE</t>
  </si>
  <si>
    <t>Comune di Luserna</t>
  </si>
  <si>
    <t>COMUNE DI SORBO SERPICO</t>
  </si>
  <si>
    <t>COMUNE DI RIARDO</t>
  </si>
  <si>
    <t>COMUNE DI ALBI</t>
  </si>
  <si>
    <t>COMUNE DI BADOLATO</t>
  </si>
  <si>
    <t>Comune di Montaguto</t>
  </si>
  <si>
    <t>Comune di Bonito</t>
  </si>
  <si>
    <t>COMUNE SANTA MARIA A VICO</t>
  </si>
  <si>
    <t>COMUNE DI FRIGNANO</t>
  </si>
  <si>
    <t>COMUNE DI OSPEDALETTO D'ALPINOLO</t>
  </si>
  <si>
    <t>Comune di Durazzano</t>
  </si>
  <si>
    <t>Comune di Faicchio</t>
  </si>
  <si>
    <t>comune di colleferro</t>
  </si>
  <si>
    <t>Comune di Valmontone</t>
  </si>
  <si>
    <t>COMUNE DI GEROCARNE</t>
  </si>
  <si>
    <t>COMUNE DI ARPAISE</t>
  </si>
  <si>
    <t>COMUNE DI TUFO</t>
  </si>
  <si>
    <t>COMUNE DI ALBIDONA</t>
  </si>
  <si>
    <t>COMUNE DI TORNIMPARTE</t>
  </si>
  <si>
    <t>COMUNE DI SAN PIETRO AVELLANA</t>
  </si>
  <si>
    <t>COMUNE DI DIAMANTE</t>
  </si>
  <si>
    <t>COMUNE DI ACQUAPPESA</t>
  </si>
  <si>
    <t>Comune di Favignana</t>
  </si>
  <si>
    <t>comune di carolei</t>
  </si>
  <si>
    <t>COMUNE DI SAN LORENZO MAGGIORE</t>
  </si>
  <si>
    <t>COMUNE DI MAIDA</t>
  </si>
  <si>
    <t>COMUNE DI BRIATICO</t>
  </si>
  <si>
    <t>COMUNE DI NOCARA</t>
  </si>
  <si>
    <t>COMUNE DI BELMONTE CALABRO</t>
  </si>
  <si>
    <t>COMUNE DI SAN FLORO</t>
  </si>
  <si>
    <t>COMUNE DI DIPIGNANO</t>
  </si>
  <si>
    <t>COMUNE DI CASTROLIBERO</t>
  </si>
  <si>
    <t>Comune di Staiti</t>
  </si>
  <si>
    <t>COMUNE DI MARTONE</t>
  </si>
  <si>
    <t>Comune di Caccuri</t>
  </si>
  <si>
    <t>COMUNE DI CAIAZZO</t>
  </si>
  <si>
    <t>COMUNE DI PLATACI</t>
  </si>
  <si>
    <t>Comune di Falciano del Massico</t>
  </si>
  <si>
    <t>COMUNE DI ZAGARISE</t>
  </si>
  <si>
    <t>COMUNE DI DECOLLATURA</t>
  </si>
  <si>
    <t>COMUNE DI SUMMONTE</t>
  </si>
  <si>
    <t>comune di joppolo</t>
  </si>
  <si>
    <t>COMUNE DI NARDODIPACE</t>
  </si>
  <si>
    <t>Comune di San Giovanni di Fassa - Sèn Jan</t>
  </si>
  <si>
    <t>comune di lioni</t>
  </si>
  <si>
    <t>comune di salza irpina</t>
  </si>
  <si>
    <t>comune di alcara li fusi</t>
  </si>
  <si>
    <t>Comune di Trevico</t>
  </si>
  <si>
    <t>COMUNE DI ATENA LUCANA</t>
  </si>
  <si>
    <t>Comune di Frigento</t>
  </si>
  <si>
    <t>Comune di Manocalzati</t>
  </si>
  <si>
    <t>COMUNE DI GARNIGA TERME</t>
  </si>
  <si>
    <t>COMUNE DI TORA E PICCILLI</t>
  </si>
  <si>
    <t>COMUNE DI FORZA D'AGRO'</t>
  </si>
  <si>
    <t>COMUNE DI SAN GREGORIO D'IPPONA</t>
  </si>
  <si>
    <t>di cui dotate di misuratore di portata</t>
  </si>
  <si>
    <t>di cui dotate di pre-trattamenti</t>
  </si>
  <si>
    <t>di cui con parametri in deroga alla tabella 3, Allegato 5, Parte III, D.lgs 152/2006</t>
  </si>
  <si>
    <t>Vedere RQTI, Art.21 (N.B.: la valutazione del conseguimento del Preq2 va fatta anche per i soggetti che non gestiscono l'attività di distribuzione)</t>
  </si>
  <si>
    <t xml:space="preserve">     di cui con misuratore teleletto da remoto</t>
  </si>
  <si>
    <t xml:space="preserve">Dato da compilare (insieme ai "di cui") se è gestito il servizio di distribuzione </t>
  </si>
  <si>
    <t>Si intendono gli utenti finali del servizio di acquedotto per cui non viene fatturato il servizio di fognatura; gli utenti sono da considerarsi serviti da fognatura anche nel caso in cui la stessa sia gestita separatamente da un altro gestore (rif. art. 156 del D.lgs 152/2006)</t>
  </si>
  <si>
    <t>Come da definizioni TICSI. Non è la somma dei "di cui" sottostanti</t>
  </si>
  <si>
    <r>
      <t>E' facoltà del gestore includere le perdite di trattamento misurate in ∑W</t>
    </r>
    <r>
      <rPr>
        <vertAlign val="subscript"/>
        <sz val="10"/>
        <rFont val="Calibri"/>
        <family val="2"/>
        <scheme val="minor"/>
      </rPr>
      <t xml:space="preserve">OUT </t>
    </r>
    <r>
      <rPr>
        <sz val="10"/>
        <rFont val="Calibri"/>
        <family val="2"/>
        <scheme val="minor"/>
      </rPr>
      <t>, non si considera (in questa sede) come trattata l'acqua sottoposta alla sola disinfezione</t>
    </r>
  </si>
  <si>
    <t>ID_ARERA_Gestore</t>
  </si>
  <si>
    <t>kmq</t>
  </si>
  <si>
    <t>Fornire dettagli in relazione</t>
  </si>
  <si>
    <t xml:space="preserve">ACQUEDOTTO - Ulteriori dati </t>
  </si>
  <si>
    <t>FOGNATURA - Ulteriori dati</t>
  </si>
  <si>
    <t>DEPURAZIONE - Ulteriori dati</t>
  </si>
  <si>
    <t>Volume di acqua prelevato dall'ambiente</t>
  </si>
  <si>
    <t>ACQUEDOTTO - Dati sulla misura di utenza, inclusi obblighi di cui all'art. 15 dell'Allegato A alla del. 218/2016/R/idr (TIMSII)</t>
  </si>
  <si>
    <r>
      <t xml:space="preserve">Dati per l'applicazione dei meccanismi di 
incentivazione RQTI (premi e penalità)
</t>
    </r>
    <r>
      <rPr>
        <sz val="12"/>
        <color theme="3"/>
        <rFont val="Calibri"/>
        <family val="2"/>
        <scheme val="minor"/>
      </rPr>
      <t xml:space="preserve">Tutti i valori imputati sono intesi essere valori 
consuntivi </t>
    </r>
  </si>
  <si>
    <r>
      <t xml:space="preserve">Altri dati di qualità tecnica 
</t>
    </r>
    <r>
      <rPr>
        <sz val="12"/>
        <color theme="3"/>
        <rFont val="Calibri"/>
        <family val="2"/>
        <scheme val="minor"/>
      </rPr>
      <t xml:space="preserve">Tutti i valori imputati sono intesi essere valori 
consuntivi </t>
    </r>
  </si>
  <si>
    <t xml:space="preserve">(Dato facoltativo) </t>
  </si>
  <si>
    <t>(Dato facoltativo) 
Vedere norma UNI EN ISO 14064-1</t>
  </si>
  <si>
    <t>Volumi riferiti agli utenti finali, sono esclusi i volumi ceduti a reti di acquedotto gestite da altri gestori. 
N.B. Deve essere verificata la seguente equivalenza: WPtot + WUtot = ∑WIN + ∑WOUT</t>
  </si>
  <si>
    <r>
      <t xml:space="preserve">Laddove il dato sia comprensivo delle perdite di trattamento misurate è obbligatorio compilare la riga successiva. 
Non è la somma dei "di cui" sottostanti.
</t>
    </r>
    <r>
      <rPr>
        <sz val="10"/>
        <rFont val="Calibri"/>
        <family val="2"/>
        <scheme val="minor"/>
      </rPr>
      <t>N.B. Deve essere verificata la seguente equivalenza: WPtot + WUtot = ∑WIN + ∑WOUT</t>
    </r>
  </si>
  <si>
    <t>Valore obiettivo M2</t>
  </si>
  <si>
    <t>Vedere RQTI al comma 3.3. Nel caso di interruzioni per le quali il servizio di emergenza, anche se dovuto, non è mai stato attivato, queste sono comunque da considerare tra le interruzioni con ritardo rispetto allo standard specifico S2</t>
  </si>
  <si>
    <r>
      <t>WP</t>
    </r>
    <r>
      <rPr>
        <vertAlign val="subscript"/>
        <sz val="11"/>
        <rFont val="Calibri"/>
        <family val="2"/>
        <scheme val="minor"/>
      </rPr>
      <t>tot</t>
    </r>
  </si>
  <si>
    <r>
      <t>WP</t>
    </r>
    <r>
      <rPr>
        <vertAlign val="subscript"/>
        <sz val="11"/>
        <rFont val="Calibri"/>
        <family val="2"/>
        <scheme val="minor"/>
      </rPr>
      <t>m</t>
    </r>
  </si>
  <si>
    <r>
      <t>WU</t>
    </r>
    <r>
      <rPr>
        <vertAlign val="subscript"/>
        <sz val="11"/>
        <rFont val="Calibri"/>
        <family val="2"/>
        <scheme val="minor"/>
      </rPr>
      <t>tot</t>
    </r>
  </si>
  <si>
    <r>
      <t>WU</t>
    </r>
    <r>
      <rPr>
        <vertAlign val="subscript"/>
        <sz val="11"/>
        <rFont val="Calibri"/>
        <family val="2"/>
        <scheme val="minor"/>
      </rPr>
      <t>m</t>
    </r>
  </si>
  <si>
    <t>Quota di volumi di utenza misurati sui totali</t>
  </si>
  <si>
    <t>Si intendono i volumi registrati presso gli utenti finali (esclusi utenti indiretti)</t>
  </si>
  <si>
    <t>Quota di volumi di processo misurati sui totali</t>
  </si>
  <si>
    <t>Telelettura di prossimità (modalità semi-smart) e telelettura da remoto (modalità smart)</t>
  </si>
  <si>
    <t>Solo telelettura in modalità smart (no walk by/drive by)</t>
  </si>
  <si>
    <t>Diffusione delle tecnologie di rilevazione delle misure d'utenza di tipo smart</t>
  </si>
  <si>
    <t>Diffusione delle tecnologie di rilevazione delle misure di processo di tipo smart</t>
  </si>
  <si>
    <t>di cui volumi di processo rilevati con modalità di telelettura da remoto</t>
  </si>
  <si>
    <t>di cui volumi di utenza rilevati con modalità di telelettura da remoto</t>
  </si>
  <si>
    <t>Somma dei volumi consumati dagli utenti finali con almeno un numero di letture validate pari agli obblighi TIMSII per i tentativi di lettura annuali</t>
  </si>
  <si>
    <t>di cui volumi relativi agli utenti finali con consumo medio annuo fino a 3000 mc, per i quali sono disponibili almeno 2 misure validate all'anno</t>
  </si>
  <si>
    <t>di cui volumi relativi agli utenti finali con consumo medio annuo superiore a 3000 mc, per i quali sono disponibili almeno 3 misure validate all'anno</t>
  </si>
  <si>
    <t>Nei volumi di processo sono compresi i volumi scambiati con sistemi di acquedotto gestiti da altri gestori. I punti teleletti da sala di controllo centralizzata sono considerati validati, a meno di rilevazione di misure palesemente errate o in caso di misuratore non funzionante</t>
  </si>
  <si>
    <r>
      <t>WPem</t>
    </r>
    <r>
      <rPr>
        <vertAlign val="subscript"/>
        <sz val="11"/>
        <rFont val="Calibri"/>
        <family val="2"/>
        <scheme val="minor"/>
      </rPr>
      <t>tel</t>
    </r>
  </si>
  <si>
    <r>
      <t>WUem</t>
    </r>
    <r>
      <rPr>
        <vertAlign val="subscript"/>
        <sz val="11"/>
        <rFont val="Calibri"/>
        <family val="2"/>
        <scheme val="minor"/>
      </rPr>
      <t>tel</t>
    </r>
  </si>
  <si>
    <r>
      <t>W</t>
    </r>
    <r>
      <rPr>
        <vertAlign val="subscript"/>
        <sz val="11"/>
        <rFont val="Calibri"/>
        <family val="2"/>
        <scheme val="minor"/>
      </rPr>
      <t>prod</t>
    </r>
  </si>
  <si>
    <r>
      <t>P</t>
    </r>
    <r>
      <rPr>
        <vertAlign val="subscript"/>
        <sz val="11"/>
        <rFont val="Calibri"/>
        <family val="2"/>
        <scheme val="minor"/>
      </rPr>
      <t>ACQ-pnc-A</t>
    </r>
  </si>
  <si>
    <r>
      <t>P</t>
    </r>
    <r>
      <rPr>
        <vertAlign val="subscript"/>
        <sz val="11"/>
        <rFont val="Calibri"/>
        <family val="2"/>
        <scheme val="minor"/>
      </rPr>
      <t>ACQ-pnc-B</t>
    </r>
  </si>
  <si>
    <r>
      <t>∑SS</t>
    </r>
    <r>
      <rPr>
        <vertAlign val="subscript"/>
        <sz val="11"/>
        <rFont val="Calibri"/>
        <family val="2"/>
        <scheme val="minor"/>
      </rPr>
      <t>rec,imp-td</t>
    </r>
  </si>
  <si>
    <r>
      <t>Agg</t>
    </r>
    <r>
      <rPr>
        <vertAlign val="subscript"/>
        <sz val="11"/>
        <rFont val="Calibri"/>
        <family val="2"/>
        <scheme val="minor"/>
      </rPr>
      <t>2000</t>
    </r>
  </si>
  <si>
    <t>Sommatoria degli utenti finali (esclusi utenti indiretti) con diritto all'indennizzo automatico per SR1</t>
  </si>
  <si>
    <t>Sommatoria degli utenti finali (esclusi utenti indiretti) con diritto all'indennizzo automatico per SR2</t>
  </si>
  <si>
    <t>Ammontare complessivo degli indennizzi erogato agli utenti finali (esclusi utenti indiretti) interessati da mancato rispetto degli standard specifici del servizio di misura</t>
  </si>
  <si>
    <t>Ammontare complessivo degli indennizzi non ancora corrisposto agli utenti finali (esclusi utenti indiretti) interessati da mancato rispetto degli standard specifici di misura</t>
  </si>
  <si>
    <r>
      <t>∑U</t>
    </r>
    <r>
      <rPr>
        <vertAlign val="subscript"/>
        <sz val="11"/>
        <rFont val="Calibri"/>
        <family val="2"/>
        <scheme val="minor"/>
      </rPr>
      <t>S1ind</t>
    </r>
    <r>
      <rPr>
        <sz val="11"/>
        <rFont val="Calibri"/>
        <family val="2"/>
        <scheme val="minor"/>
      </rPr>
      <t xml:space="preserve"> </t>
    </r>
  </si>
  <si>
    <r>
      <t>∑U</t>
    </r>
    <r>
      <rPr>
        <vertAlign val="subscript"/>
        <sz val="11"/>
        <rFont val="Calibri"/>
        <family val="2"/>
        <scheme val="minor"/>
      </rPr>
      <t>S2ind</t>
    </r>
    <r>
      <rPr>
        <sz val="11"/>
        <rFont val="Calibri"/>
        <family val="2"/>
        <scheme val="minor"/>
      </rPr>
      <t xml:space="preserve"> </t>
    </r>
  </si>
  <si>
    <r>
      <t>∑U</t>
    </r>
    <r>
      <rPr>
        <vertAlign val="subscript"/>
        <sz val="11"/>
        <rFont val="Calibri"/>
        <family val="2"/>
        <scheme val="minor"/>
      </rPr>
      <t>S3ind</t>
    </r>
    <r>
      <rPr>
        <sz val="11"/>
        <rFont val="Calibri"/>
        <family val="2"/>
        <scheme val="minor"/>
      </rPr>
      <t xml:space="preserve"> </t>
    </r>
  </si>
  <si>
    <r>
      <t>Ind</t>
    </r>
    <r>
      <rPr>
        <vertAlign val="subscript"/>
        <sz val="11"/>
        <rFont val="Calibri"/>
        <family val="2"/>
        <scheme val="minor"/>
      </rPr>
      <t>C</t>
    </r>
  </si>
  <si>
    <r>
      <t>Ind</t>
    </r>
    <r>
      <rPr>
        <vertAlign val="subscript"/>
        <sz val="11"/>
        <rFont val="Calibri"/>
        <family val="2"/>
        <scheme val="minor"/>
      </rPr>
      <t>NC</t>
    </r>
  </si>
  <si>
    <r>
      <t>UtTmis_sm</t>
    </r>
    <r>
      <rPr>
        <vertAlign val="subscript"/>
        <sz val="11"/>
        <rFont val="Calibri"/>
        <family val="2"/>
        <scheme val="minor"/>
      </rPr>
      <t>tel</t>
    </r>
  </si>
  <si>
    <r>
      <t>WAM</t>
    </r>
    <r>
      <rPr>
        <vertAlign val="subscript"/>
        <sz val="11"/>
        <rFont val="Calibri"/>
        <family val="2"/>
        <scheme val="minor"/>
      </rPr>
      <t>s</t>
    </r>
  </si>
  <si>
    <r>
      <t>WAM</t>
    </r>
    <r>
      <rPr>
        <vertAlign val="subscript"/>
        <sz val="11"/>
        <rFont val="Calibri"/>
        <family val="2"/>
        <scheme val="minor"/>
      </rPr>
      <t>p</t>
    </r>
  </si>
  <si>
    <r>
      <t>WAM</t>
    </r>
    <r>
      <rPr>
        <vertAlign val="subscript"/>
        <sz val="11"/>
        <rFont val="Calibri"/>
        <family val="2"/>
        <scheme val="minor"/>
      </rPr>
      <t>c</t>
    </r>
  </si>
  <si>
    <r>
      <t>WAM</t>
    </r>
    <r>
      <rPr>
        <vertAlign val="subscript"/>
        <sz val="11"/>
        <rFont val="Calibri"/>
        <family val="2"/>
        <scheme val="minor"/>
      </rPr>
      <t>m</t>
    </r>
  </si>
  <si>
    <r>
      <t>WA6</t>
    </r>
    <r>
      <rPr>
        <vertAlign val="subscript"/>
        <sz val="11"/>
        <rFont val="Calibri"/>
        <family val="2"/>
        <scheme val="minor"/>
      </rPr>
      <t>A</t>
    </r>
  </si>
  <si>
    <r>
      <t>WA6</t>
    </r>
    <r>
      <rPr>
        <vertAlign val="subscript"/>
        <sz val="11"/>
        <rFont val="Calibri"/>
        <family val="2"/>
        <scheme val="minor"/>
      </rPr>
      <t>B</t>
    </r>
  </si>
  <si>
    <r>
      <t>WA6</t>
    </r>
    <r>
      <rPr>
        <vertAlign val="subscript"/>
        <sz val="11"/>
        <rFont val="Calibri"/>
        <family val="2"/>
        <scheme val="minor"/>
      </rPr>
      <t>C</t>
    </r>
  </si>
  <si>
    <r>
      <t>UtT</t>
    </r>
    <r>
      <rPr>
        <vertAlign val="subscript"/>
        <sz val="11"/>
        <rFont val="Calibri"/>
        <family val="2"/>
        <scheme val="minor"/>
      </rPr>
      <t>nf</t>
    </r>
  </si>
  <si>
    <r>
      <t>N</t>
    </r>
    <r>
      <rPr>
        <vertAlign val="subscript"/>
        <sz val="11"/>
        <rFont val="Calibri"/>
        <family val="2"/>
        <scheme val="minor"/>
      </rPr>
      <t>all,ACQ</t>
    </r>
  </si>
  <si>
    <r>
      <t>Lall</t>
    </r>
    <r>
      <rPr>
        <vertAlign val="subscript"/>
        <sz val="11"/>
        <rFont val="Calibri"/>
        <family val="2"/>
        <scheme val="minor"/>
      </rPr>
      <t>stima</t>
    </r>
  </si>
  <si>
    <r>
      <t>Lp</t>
    </r>
    <r>
      <rPr>
        <vertAlign val="subscript"/>
        <sz val="11"/>
        <rFont val="Calibri"/>
        <family val="2"/>
        <scheme val="minor"/>
      </rPr>
      <t>10</t>
    </r>
  </si>
  <si>
    <r>
      <t>Lp</t>
    </r>
    <r>
      <rPr>
        <vertAlign val="subscript"/>
        <sz val="11"/>
        <rFont val="Calibri"/>
        <family val="2"/>
        <scheme val="minor"/>
      </rPr>
      <t>11-30</t>
    </r>
  </si>
  <si>
    <r>
      <t>Lp</t>
    </r>
    <r>
      <rPr>
        <vertAlign val="subscript"/>
        <sz val="11"/>
        <rFont val="Calibri"/>
        <family val="2"/>
        <scheme val="minor"/>
      </rPr>
      <t>31-40</t>
    </r>
  </si>
  <si>
    <r>
      <t>Lp</t>
    </r>
    <r>
      <rPr>
        <vertAlign val="subscript"/>
        <sz val="11"/>
        <rFont val="Calibri"/>
        <family val="2"/>
        <scheme val="minor"/>
      </rPr>
      <t>41-50</t>
    </r>
  </si>
  <si>
    <r>
      <t>Lp</t>
    </r>
    <r>
      <rPr>
        <vertAlign val="subscript"/>
        <sz val="11"/>
        <rFont val="Calibri"/>
        <family val="2"/>
        <scheme val="minor"/>
      </rPr>
      <t>50</t>
    </r>
  </si>
  <si>
    <r>
      <t>Lp</t>
    </r>
    <r>
      <rPr>
        <vertAlign val="subscript"/>
        <sz val="11"/>
        <rFont val="Calibri"/>
        <family val="2"/>
        <scheme val="minor"/>
      </rPr>
      <t>NN</t>
    </r>
  </si>
  <si>
    <r>
      <t>Lp</t>
    </r>
    <r>
      <rPr>
        <vertAlign val="subscript"/>
        <sz val="11"/>
        <rFont val="Calibri"/>
        <family val="2"/>
        <scheme val="minor"/>
      </rPr>
      <t>geo</t>
    </r>
  </si>
  <si>
    <r>
      <t>Lp</t>
    </r>
    <r>
      <rPr>
        <vertAlign val="subscript"/>
        <sz val="11"/>
        <rFont val="Calibri"/>
        <family val="2"/>
        <scheme val="minor"/>
      </rPr>
      <t>rp</t>
    </r>
  </si>
  <si>
    <r>
      <t>Ld</t>
    </r>
    <r>
      <rPr>
        <vertAlign val="subscript"/>
        <sz val="11"/>
        <rFont val="Calibri"/>
        <family val="2"/>
        <scheme val="minor"/>
      </rPr>
      <t>dt</t>
    </r>
  </si>
  <si>
    <r>
      <t>Lp</t>
    </r>
    <r>
      <rPr>
        <vertAlign val="subscript"/>
        <sz val="11"/>
        <rFont val="Calibri"/>
        <family val="2"/>
        <scheme val="minor"/>
      </rPr>
      <t>sos</t>
    </r>
  </si>
  <si>
    <r>
      <t>Break</t>
    </r>
    <r>
      <rPr>
        <vertAlign val="subscript"/>
        <sz val="11"/>
        <rFont val="Calibri"/>
        <family val="2"/>
        <scheme val="minor"/>
      </rPr>
      <t>ACQ</t>
    </r>
  </si>
  <si>
    <r>
      <t>W</t>
    </r>
    <r>
      <rPr>
        <vertAlign val="subscript"/>
        <sz val="11"/>
        <rFont val="Calibri"/>
        <family val="2"/>
        <scheme val="minor"/>
      </rPr>
      <t>DEPin</t>
    </r>
  </si>
  <si>
    <r>
      <t>W</t>
    </r>
    <r>
      <rPr>
        <vertAlign val="subscript"/>
        <sz val="11"/>
        <rFont val="Calibri"/>
        <family val="2"/>
        <scheme val="minor"/>
      </rPr>
      <t>RIF_Lin</t>
    </r>
  </si>
  <si>
    <r>
      <t>Ndep</t>
    </r>
    <r>
      <rPr>
        <vertAlign val="subscript"/>
        <sz val="11"/>
        <rFont val="Calibri"/>
        <family val="2"/>
        <scheme val="minor"/>
      </rPr>
      <t>ess</t>
    </r>
  </si>
  <si>
    <r>
      <t>Ndep</t>
    </r>
    <r>
      <rPr>
        <vertAlign val="subscript"/>
        <sz val="11"/>
        <rFont val="Calibri"/>
        <family val="2"/>
        <scheme val="minor"/>
      </rPr>
      <t>dig_an</t>
    </r>
  </si>
  <si>
    <r>
      <t>Ndep</t>
    </r>
    <r>
      <rPr>
        <vertAlign val="subscript"/>
        <sz val="11"/>
        <rFont val="Calibri"/>
        <family val="2"/>
        <scheme val="minor"/>
      </rPr>
      <t>dig_an,FOR</t>
    </r>
  </si>
  <si>
    <r>
      <t>Ndep</t>
    </r>
    <r>
      <rPr>
        <vertAlign val="subscript"/>
        <sz val="11"/>
        <rFont val="Calibri"/>
        <family val="2"/>
        <scheme val="minor"/>
      </rPr>
      <t>dig_an,BGAS</t>
    </r>
  </si>
  <si>
    <r>
      <t>Lf</t>
    </r>
    <r>
      <rPr>
        <vertAlign val="subscript"/>
        <sz val="11"/>
        <rFont val="Calibri"/>
        <family val="2"/>
        <scheme val="minor"/>
      </rPr>
      <t>10</t>
    </r>
  </si>
  <si>
    <r>
      <t>Lf</t>
    </r>
    <r>
      <rPr>
        <vertAlign val="subscript"/>
        <sz val="11"/>
        <rFont val="Calibri"/>
        <family val="2"/>
        <scheme val="minor"/>
      </rPr>
      <t>11-30</t>
    </r>
  </si>
  <si>
    <r>
      <t>Lf</t>
    </r>
    <r>
      <rPr>
        <vertAlign val="subscript"/>
        <sz val="11"/>
        <rFont val="Calibri"/>
        <family val="2"/>
        <scheme val="minor"/>
      </rPr>
      <t>31-40</t>
    </r>
  </si>
  <si>
    <r>
      <t>Lf</t>
    </r>
    <r>
      <rPr>
        <vertAlign val="subscript"/>
        <sz val="11"/>
        <rFont val="Calibri"/>
        <family val="2"/>
        <scheme val="minor"/>
      </rPr>
      <t>41-50</t>
    </r>
  </si>
  <si>
    <r>
      <t>Lf</t>
    </r>
    <r>
      <rPr>
        <vertAlign val="subscript"/>
        <sz val="11"/>
        <rFont val="Calibri"/>
        <family val="2"/>
        <scheme val="minor"/>
      </rPr>
      <t>50</t>
    </r>
  </si>
  <si>
    <r>
      <t>Lf</t>
    </r>
    <r>
      <rPr>
        <vertAlign val="subscript"/>
        <sz val="11"/>
        <rFont val="Calibri"/>
        <family val="2"/>
        <scheme val="minor"/>
      </rPr>
      <t>NN</t>
    </r>
  </si>
  <si>
    <t>Wm,F</t>
  </si>
  <si>
    <t>Wnm,F</t>
  </si>
  <si>
    <t>Wm,NF</t>
  </si>
  <si>
    <t>Wnm,NF</t>
  </si>
  <si>
    <t>Somma dei volumi di processo transitati nei punti dell’infrastruttura di acquedotto rilevanti per M1 per i quali sono disponibili almeno 12 misure validate nell’anno, ognuno preso in valore assoluto</t>
  </si>
  <si>
    <t>Indicare le utenze finali per le quali è già attivo il servizio di lettura da remoto (inclusi sistemi walk by/drive by), anche in via sperimentale</t>
  </si>
  <si>
    <t xml:space="preserve">Volume autorizzato, misurato e non fatturato </t>
  </si>
  <si>
    <t xml:space="preserve">Volume autorizzato, non misurato e non fatturato </t>
  </si>
  <si>
    <r>
      <t>Lall</t>
    </r>
    <r>
      <rPr>
        <vertAlign val="subscript"/>
        <sz val="11"/>
        <rFont val="Calibri"/>
        <family val="2"/>
        <scheme val="minor"/>
      </rPr>
      <t>geo</t>
    </r>
  </si>
  <si>
    <t>di cui lunghezza effettivamente rilevata con georeferenziazione completa (come da comma 7.3 RQTI)</t>
  </si>
  <si>
    <t>Vedere RQTI al comma 6.5, punto 1.a)</t>
  </si>
  <si>
    <t xml:space="preserve">Vedere RQTI al comma 6.5, punto 1.b) </t>
  </si>
  <si>
    <t xml:space="preserve">Somma dei volumi consumati dagli utenti finali con misure rilevate tramite telelettura </t>
  </si>
  <si>
    <r>
      <t>Vedere RQTI al comma 6.5, punto 2.a)</t>
    </r>
    <r>
      <rPr>
        <strike/>
        <sz val="10"/>
        <rFont val="Calibri"/>
        <family val="2"/>
        <scheme val="minor"/>
      </rPr>
      <t xml:space="preserve"> </t>
    </r>
  </si>
  <si>
    <t xml:space="preserve">Vedere RQTI al comma 6.5, punto 2.b) </t>
  </si>
  <si>
    <t xml:space="preserve">Somma dei volumi di processo con misure rilevate tramite telelettura </t>
  </si>
  <si>
    <t>Fornire dettagli in relazione in merito agli utilizzi dei volumi inclusi in questa voce</t>
  </si>
  <si>
    <r>
      <t xml:space="preserve">Espressa in tonnelate di sostanza secca. Si specifica che, ai fini del calcolo di M5, sono da considerare </t>
    </r>
    <r>
      <rPr>
        <u/>
        <sz val="10"/>
        <rFont val="Calibri"/>
        <family val="2"/>
        <scheme val="minor"/>
      </rPr>
      <t>tutti</t>
    </r>
    <r>
      <rPr>
        <sz val="10"/>
        <rFont val="Calibri"/>
        <family val="2"/>
        <scheme val="minor"/>
      </rPr>
      <t xml:space="preserve"> gli impianti di depurazione presenti nel territorio di competenza del gestore. Non sono da considerare gli scambi interni al perimetro del gestore</t>
    </r>
  </si>
  <si>
    <t>Numero di utenze finali dotate di misuratori rilevabili tramite telelettura (esclusi utenti indiretti)</t>
  </si>
  <si>
    <r>
      <t xml:space="preserve">Solo la rete principale di adduzione e distribuzione, </t>
    </r>
    <r>
      <rPr>
        <sz val="10"/>
        <rFont val="Calibri"/>
        <family val="2"/>
      </rPr>
      <t>escluse le derivazioni d’utenza</t>
    </r>
  </si>
  <si>
    <t>Soppresso ai sensi della del. 609/2021/R/idr a decorrere dal 1 gennaio 2022</t>
  </si>
  <si>
    <t>Si intendono misurati i volumi delle utenze dotate di misuratore</t>
  </si>
  <si>
    <t xml:space="preserve">Volume autorizzato, misurato e fatturato </t>
  </si>
  <si>
    <t xml:space="preserve">Volume autorizzato, non misurato e fatturato </t>
  </si>
  <si>
    <t>Numero agglomerati oggetto di condanna per il servizio di fognatura (causa C-565/10, C-85/13, C-668/19 e successive)</t>
  </si>
  <si>
    <t>Abitanti Equivalenti complessivi degli agglomerati oggetto di condanna per il servizio di fognatura (causa C-565/10, C-85/13, C-668/19 e successive)</t>
  </si>
  <si>
    <t>Ulteriori specificazioni per il calcolo del macro-indicatore M1 (anche ai sensi delle deliberazioni 609/2021/R/idr e 639/2021/R/idr), ai fini della valutazione di affidabilità e di diffusione delle nuove tecnologie</t>
  </si>
  <si>
    <t>Numero agglomerati oggetto di condanna per il servizio di depurazione (causa C-565/10, C-85/13, C-668/19 e successive)</t>
  </si>
  <si>
    <t>Abitanti Equivalenti complessivi degli agglomerati oggetto di condanna per il servizio di depurazione (causa C-565/10, C-85/13, C-668/19 e successive)</t>
  </si>
  <si>
    <t>di cui lunghezza rilevata con georeferenziazione parziale</t>
  </si>
  <si>
    <r>
      <t>WU</t>
    </r>
    <r>
      <rPr>
        <vertAlign val="subscript"/>
        <sz val="11"/>
        <rFont val="Calibri"/>
        <family val="2"/>
        <scheme val="minor"/>
      </rPr>
      <t>val</t>
    </r>
  </si>
  <si>
    <r>
      <t>WU3000</t>
    </r>
    <r>
      <rPr>
        <vertAlign val="subscript"/>
        <sz val="11"/>
        <rFont val="Calibri"/>
        <family val="2"/>
        <scheme val="minor"/>
      </rPr>
      <t>val</t>
    </r>
  </si>
  <si>
    <r>
      <t>WU3000+</t>
    </r>
    <r>
      <rPr>
        <vertAlign val="subscript"/>
        <sz val="11"/>
        <rFont val="Calibri"/>
        <family val="2"/>
        <scheme val="minor"/>
      </rPr>
      <t>val</t>
    </r>
  </si>
  <si>
    <r>
      <t>G1.1</t>
    </r>
    <r>
      <rPr>
        <b/>
        <vertAlign val="subscript"/>
        <sz val="11"/>
        <rFont val="Calibri"/>
        <family val="2"/>
        <scheme val="minor"/>
      </rPr>
      <t>ut</t>
    </r>
  </si>
  <si>
    <r>
      <t>WP</t>
    </r>
    <r>
      <rPr>
        <vertAlign val="subscript"/>
        <sz val="11"/>
        <rFont val="Calibri"/>
        <family val="2"/>
        <scheme val="minor"/>
      </rPr>
      <t>val</t>
    </r>
  </si>
  <si>
    <r>
      <t>G1.1</t>
    </r>
    <r>
      <rPr>
        <b/>
        <vertAlign val="subscript"/>
        <sz val="11"/>
        <rFont val="Calibri"/>
        <family val="2"/>
        <scheme val="minor"/>
      </rPr>
      <t>proc</t>
    </r>
  </si>
  <si>
    <r>
      <t>WU</t>
    </r>
    <r>
      <rPr>
        <vertAlign val="subscript"/>
        <sz val="11"/>
        <rFont val="Calibri"/>
        <family val="2"/>
        <scheme val="minor"/>
      </rPr>
      <t>sm</t>
    </r>
  </si>
  <si>
    <r>
      <t>WU</t>
    </r>
    <r>
      <rPr>
        <vertAlign val="subscript"/>
        <sz val="11"/>
        <rFont val="Calibri"/>
        <family val="2"/>
        <scheme val="minor"/>
      </rPr>
      <t>sm_tel</t>
    </r>
  </si>
  <si>
    <r>
      <t>G1.2</t>
    </r>
    <r>
      <rPr>
        <b/>
        <vertAlign val="subscript"/>
        <sz val="11"/>
        <rFont val="Calibri"/>
        <family val="2"/>
        <scheme val="minor"/>
      </rPr>
      <t>ut</t>
    </r>
  </si>
  <si>
    <r>
      <t>WP</t>
    </r>
    <r>
      <rPr>
        <vertAlign val="subscript"/>
        <sz val="11"/>
        <rFont val="Calibri"/>
        <family val="2"/>
        <scheme val="minor"/>
      </rPr>
      <t>sm</t>
    </r>
  </si>
  <si>
    <r>
      <t>WP</t>
    </r>
    <r>
      <rPr>
        <vertAlign val="subscript"/>
        <sz val="11"/>
        <rFont val="Calibri"/>
        <family val="2"/>
        <scheme val="minor"/>
      </rPr>
      <t>sm_tel</t>
    </r>
  </si>
  <si>
    <r>
      <t>G1.2</t>
    </r>
    <r>
      <rPr>
        <b/>
        <vertAlign val="subscript"/>
        <sz val="11"/>
        <rFont val="Calibri"/>
        <family val="2"/>
        <scheme val="minor"/>
      </rPr>
      <t>proc</t>
    </r>
  </si>
  <si>
    <t xml:space="preserve">Indicare l'esito della validazione ai fini della valutazione della disponibilità e affidabilità dei dati per M0 (prerequisito Preq4) </t>
  </si>
  <si>
    <t>Indicare se è stata formulata istanza per eventi imprevisti e imprevedibili che hanno comportato il mancato rispetto degli obiettivi per M0</t>
  </si>
  <si>
    <t>Fornire dettagli in relazione in merito alle gestioni valutate congiuntamente</t>
  </si>
  <si>
    <t>Indicare se il macro-indicatore M0 è determinato congiuntamente con altri gestori (grossisti)</t>
  </si>
  <si>
    <t>∑disp_SII</t>
  </si>
  <si>
    <t>DISP</t>
  </si>
  <si>
    <t>M0a</t>
  </si>
  <si>
    <t xml:space="preserve">Resilienza idrica a livello di gestione del servizio idrico integrato </t>
  </si>
  <si>
    <t>Vedere RQTI all'articolo 5-ter</t>
  </si>
  <si>
    <t>∑falda_SII</t>
  </si>
  <si>
    <t>∑invasi_SII</t>
  </si>
  <si>
    <t>∑CIS_SII</t>
  </si>
  <si>
    <t>∑dissalazione_SII</t>
  </si>
  <si>
    <t>∑riuso_SII</t>
  </si>
  <si>
    <t>Interconnessioni_SII</t>
  </si>
  <si>
    <t>∑falda_tot</t>
  </si>
  <si>
    <t>∑invasi_tot</t>
  </si>
  <si>
    <t>∑CIS_tot</t>
  </si>
  <si>
    <t>∑dissalazione_tot</t>
  </si>
  <si>
    <t>∑riuso_tot</t>
  </si>
  <si>
    <t>Wimp_tot</t>
  </si>
  <si>
    <t>Wesp_tot</t>
  </si>
  <si>
    <t>Consumi idrici totali</t>
  </si>
  <si>
    <t>di cui consumi acqua potabile</t>
  </si>
  <si>
    <t>di cui consumi irrigui</t>
  </si>
  <si>
    <t>di cui consumi industriali</t>
  </si>
  <si>
    <t>di cui altri consumi</t>
  </si>
  <si>
    <t>M0b</t>
  </si>
  <si>
    <t xml:space="preserve">Resilienza idrica a livello sovraordinato </t>
  </si>
  <si>
    <t>Vedere RQTI all'articolo 5-quater</t>
  </si>
  <si>
    <t>di cui proveniente da falda_SII</t>
  </si>
  <si>
    <t>di cui proveniente da invasi_SII</t>
  </si>
  <si>
    <t>di cui proveniente da altri corpi idrici superficiali_SII</t>
  </si>
  <si>
    <t>di cui proveniente da dissalazione_SII</t>
  </si>
  <si>
    <t>di cui proveniente da riuso_SII</t>
  </si>
  <si>
    <t>Valore assoluto dei volumi scambiati tra gestioni (ceduti o acquistati) per il tramite di interconnessioni_SII</t>
  </si>
  <si>
    <t>Cons_tot</t>
  </si>
  <si>
    <t>Cons_ap</t>
  </si>
  <si>
    <t>Cons_irr</t>
  </si>
  <si>
    <t>Cons_ind</t>
  </si>
  <si>
    <t>Cons_al</t>
  </si>
  <si>
    <t>M0CL</t>
  </si>
  <si>
    <t>Resilienza idrica - Classe di appartenenza</t>
  </si>
  <si>
    <t>OB0</t>
  </si>
  <si>
    <t xml:space="preserve">Resilienza idrica - Obiettivo </t>
  </si>
  <si>
    <t>Vedere RQTI all'articolo 5-bis</t>
  </si>
  <si>
    <t>G0.1</t>
  </si>
  <si>
    <t>Disponibilità di picco</t>
  </si>
  <si>
    <t>Volume prodotto dalla fonte di approvvigionamento più produttiva dell’anno</t>
  </si>
  <si>
    <t>Wmax_prod</t>
  </si>
  <si>
    <t>G0.2</t>
  </si>
  <si>
    <t>Differenziazione delle fonti di approvvigionamento</t>
  </si>
  <si>
    <t xml:space="preserve">Vedere RQTI al comma 18.7, come modificato dall'art. 10 della delibera 639/2021/R/idr </t>
  </si>
  <si>
    <t>Vedere RQTI al comma 6.3, come modificato dall'art. 10 della delibera 639/2021/R/idr e dall'art. 1 della delibera 637/2023/R/idr</t>
  </si>
  <si>
    <t>Soppresso ai sensi della del. 637/2023/R/idr a decorrere dal 1 gennaio 2024</t>
  </si>
  <si>
    <t>Volume autorizzato, misurato e fatturato (esclusa acqua esportata)</t>
  </si>
  <si>
    <t>Wm,F_Nesp</t>
  </si>
  <si>
    <t>ck_Wnm,NF</t>
  </si>
  <si>
    <t>Check su Wnm,NF</t>
  </si>
  <si>
    <t>Verifica ai sensi del comma 7.2 della RQTI come modificata con la delibera 637/2023/R/idr</t>
  </si>
  <si>
    <t>Vedere RQTI al comma 9.4, come modificato dall'art. 1 della delibera 637/2023/R/idr</t>
  </si>
  <si>
    <t>G2.1_new</t>
  </si>
  <si>
    <t>Peso delle interruzioni non programmate sul totale delle interruzioni</t>
  </si>
  <si>
    <t xml:space="preserve">Vedere RQTI al comma 9.8, lettera b) </t>
  </si>
  <si>
    <t xml:space="preserve">Indicare se il gestore si è dotato delle procedure per l'adempimento agli obblighi di verifica della qualità dell'acqua destinata al consumo umano ai sensi del d.lgs. 18/2023 </t>
  </si>
  <si>
    <t>Volume medio nell'anno di acqua distribuita o prodotta ogni giorno (di cui Tab. 1 All. II d.lgs. 18/2023) nell'anno</t>
  </si>
  <si>
    <t>Vedere Nota 2 Tab. 1 All.2 d.lgs. 18/2023</t>
  </si>
  <si>
    <t>Il prelievo di una o più porzioni di acqua, in un determinato punto di campionamento, in una certa data, è da considerarsi come unico campione indipendentemente dal numero di rapporti di prova registrati ovvero dal numero di contenitori (prelievi) utilizzati secondo le metodiche di campionamento</t>
  </si>
  <si>
    <t xml:space="preserve">Numero campioni (da controlli interni) effettuati in distribuzione a valle di eventuali impianti di potabilizzazione, con superamento dei limiti del d.lgs 18/2023 </t>
  </si>
  <si>
    <t>di cui campioni con superamento dei limiti della Parte A e/o B dell'All. 1 del d.lgs. 18/2023</t>
  </si>
  <si>
    <t>Esclusi campioni con superamento dei limiti anche delle Parti A e/o B</t>
  </si>
  <si>
    <t>Inclusi campioni con superamento dei limiti anche delle Parti C e/o D</t>
  </si>
  <si>
    <t xml:space="preserve">Numero parametri con superamento dei limiti del d.lgs 18/2023 nei campioni (da controlli interni) effettuati in distribuzione a valle di eventuali impianti di potabilizzazione </t>
  </si>
  <si>
    <t>di cui parametri non conformi alla Parte A dell'All. 1 del d.lgs. 18/2023</t>
  </si>
  <si>
    <t>di cui parametri non conformi alla Parte B dell'All. 1 del d.lgs. 18/2023</t>
  </si>
  <si>
    <t>di cui parametri non conformi alla Parte C dell'All. 1 del d.lgs. 18/2023</t>
  </si>
  <si>
    <t>di cui parametri non conformi alla Parte D dell'All. 1 del d.lgs. 18/2023</t>
  </si>
  <si>
    <t>Vedere RQTI al comma 10.3, come modificato dall'art. 1 della delibera 637/2023/R/idr</t>
  </si>
  <si>
    <t>Numero di scaricatori di piena conformi alla normativa vigente o, in assenza di normativa locale, conformi alla condizione di cui al comma 16.1 lett. b) della RQTI</t>
  </si>
  <si>
    <t>Vedere RQTI al comma 16.1, come modificato dall'art. 1 della delibera 637/2023/R/idr</t>
  </si>
  <si>
    <t>Vedere RQTI al comma 14.3, come modificato dall'art. 1 della delibera 637/2023/R/idr</t>
  </si>
  <si>
    <t>Adozione del modello Water Safety Plan (WSP)</t>
  </si>
  <si>
    <t>Volumi indicati nelle concessioni di derivazione, ai sensi del comma 5-ter.2</t>
  </si>
  <si>
    <t>Capacità autorizzata, ai sensi del comma 5-ter.2</t>
  </si>
  <si>
    <t>Vedere RQTI al comma 5-quater.2</t>
  </si>
  <si>
    <t>Vedere RQTI al comma 5-bis.4</t>
  </si>
  <si>
    <t>∑disp_tot</t>
  </si>
  <si>
    <t>Volumi di acqua acquistata da gestori posti al di fuori del territorio considerato</t>
  </si>
  <si>
    <t>Volumi di acqua ceduta all'ingrosso al di fuori del territorio considerato</t>
  </si>
  <si>
    <t>QR1</t>
  </si>
  <si>
    <t>QR2</t>
  </si>
  <si>
    <t>Quote di concessioni di terzi</t>
  </si>
  <si>
    <t>Numero di utenti serviti da sistemi di fornitura per i quali è stato realizzato il modello Water Safety Plan (WSP - compresi utenti indiretti)</t>
  </si>
  <si>
    <t xml:space="preserve">Vedere RQTI al comma 10.4 </t>
  </si>
  <si>
    <t xml:space="preserve">In caso affermativo, indicare i codici ID_ARERA dei grossisti considerati </t>
  </si>
  <si>
    <t>Volume di acqua importata da altri soggetti</t>
  </si>
  <si>
    <t>Volume di acqua esportata in adduzione e/o in distribuzione</t>
  </si>
  <si>
    <t>Disponibilità idrica</t>
  </si>
  <si>
    <t>Vedere RQTI al comma 14.6, come modificato dall'art. 1 della delibera 637/2023/R/idr</t>
  </si>
  <si>
    <t>Scaricatori di piena rispetto alla superficie servita da rete fognaria</t>
  </si>
  <si>
    <t>n./kmq</t>
  </si>
  <si>
    <t>QF1</t>
  </si>
  <si>
    <t>Quantità complessiva di fanghi di depurazione in uscita dagli impianti (in termini di sostanza secca)</t>
  </si>
  <si>
    <r>
      <t>Agg</t>
    </r>
    <r>
      <rPr>
        <vertAlign val="subscript"/>
        <sz val="11"/>
        <rFont val="Calibri"/>
        <family val="2"/>
        <scheme val="minor"/>
      </rPr>
      <t>infr</t>
    </r>
  </si>
  <si>
    <t xml:space="preserve">Numero agglomerati inclusi nelle procedure di infrazione non ancora giunte a sentenza della Corte di Giustizia Europea </t>
  </si>
  <si>
    <r>
      <t>AE</t>
    </r>
    <r>
      <rPr>
        <vertAlign val="subscript"/>
        <sz val="11"/>
        <rFont val="Calibri"/>
        <family val="2"/>
        <scheme val="minor"/>
      </rPr>
      <t>infr</t>
    </r>
  </si>
  <si>
    <r>
      <t>Abitanti Equivalenti complessivi negli agglomerati inclusi nelle procedure di infrazione</t>
    </r>
    <r>
      <rPr>
        <strike/>
        <sz val="11"/>
        <rFont val="Calibri"/>
        <family val="2"/>
        <scheme val="minor"/>
      </rPr>
      <t xml:space="preserve"> </t>
    </r>
    <r>
      <rPr>
        <sz val="11"/>
        <rFont val="Calibri"/>
        <family val="2"/>
        <scheme val="minor"/>
      </rPr>
      <t>non ancora giunte a sentenza della Corte di Giustizia Europea</t>
    </r>
  </si>
  <si>
    <t>Assenza di agglomerati inclusi nelle procedure di infrazione non ancora giunte a sentenza della Corte di Giustizia Europea</t>
  </si>
  <si>
    <t xml:space="preserve">Indicare la presenza o meno del prerequisito Preq4 (Art.23 RQTI) </t>
  </si>
  <si>
    <t>Vedere RQTI al comma 18.3, come modificato dall'art. 1 della delibera 637/2023/R/idr</t>
  </si>
  <si>
    <t>Quesito riferito al 31 dicembre di ogni anno (a)</t>
  </si>
  <si>
    <t>Vedere RQTI al comma 18.7. Considerare la procedura 2017/2181 ed eventuali successive. Quesito riferito al 31 dicembre di ciascun anno (a)</t>
  </si>
  <si>
    <t>MWh elettrici</t>
  </si>
  <si>
    <t>Prelievo di energia elettrica da reti pubbliche fatturato per il servizio di depurazione</t>
  </si>
  <si>
    <t>GJ</t>
  </si>
  <si>
    <t>Prelievo da reti pubbliche di gas naturale fatturato per i consumi dell’impianto di depurazione</t>
  </si>
  <si>
    <t>di cui da fonti rinnovabili escluso il biogas prodotto nei medesimi impianti</t>
  </si>
  <si>
    <t>di cui da biogas prodotto nei medesimi impianti</t>
  </si>
  <si>
    <t>di cui da processi di pirolisi con impiego di fanghi di depurazione</t>
  </si>
  <si>
    <t>di cui da incenerimento con impiego di fanghi di depurazione</t>
  </si>
  <si>
    <t xml:space="preserve">Energia elettrica prodotta nell’area degli impianti di depurazione </t>
  </si>
  <si>
    <t>MWh termici</t>
  </si>
  <si>
    <t>di cui mediante immissione in una rete di gas naturale</t>
  </si>
  <si>
    <t>Biometano prodotto negli impianti di depurazione e avviato a operazioni di recupero energetico</t>
  </si>
  <si>
    <t>G5.4</t>
  </si>
  <si>
    <t>Indicatore di neutralità energetica degli impianti di depurazione</t>
  </si>
  <si>
    <t>Energia termica prodotta nell’area degli impianti di depurazione</t>
  </si>
  <si>
    <t>g</t>
  </si>
  <si>
    <t>di cui azoto</t>
  </si>
  <si>
    <t>di cui fosforo</t>
  </si>
  <si>
    <t>di cui altri elementi/composti</t>
  </si>
  <si>
    <t>Recupero di materia dagli impianti di depurazione</t>
  </si>
  <si>
    <t>g/mc</t>
  </si>
  <si>
    <t xml:space="preserve">Quantitativo di materia recuperato dai processi di depurazione e valorizzato sul mercato </t>
  </si>
  <si>
    <t>G5.5</t>
  </si>
  <si>
    <t>Quesito riferito al 31 dicembre di ogni anno (a-1), ai sensi dell'Art. 22 della RQTI</t>
  </si>
  <si>
    <t>Vedere RQTI al comma 18.14, primo bullet, come rappresentato nell'art. 1 della delibera 637/2023/R/idr</t>
  </si>
  <si>
    <t>Vedere RQTI al comma 18.14, secondo bullet, come rappresentato nell'art. 1 della delibera 637/2023/R/idr</t>
  </si>
  <si>
    <t>Escludere sabbie e grigliati. Specificare in relazione</t>
  </si>
  <si>
    <t>Al netto del biometano utilizzato per la produzione di energia elettrica e termica e già contabilizzato in EEprod o ETprod</t>
  </si>
  <si>
    <t>Volume effettivamente destinato al riutilizzo, ai sensi del comma 5-ter.2</t>
  </si>
  <si>
    <t>Vedere RQTI al comma 19.4, come modificato dall'art. 1 della delibera 637/2023/R/idr</t>
  </si>
  <si>
    <t>G6.4</t>
  </si>
  <si>
    <t>Acque reflue destinate al riutilizzo</t>
  </si>
  <si>
    <t>Vedere RQTI al comma 19.6, come modificato dall'art. 1 della delibera 637/2023/R/idr</t>
  </si>
  <si>
    <t>Numero minimo di campioni che il gestore è tenuto a eseguire nell'anno</t>
  </si>
  <si>
    <t>di cui eseguiti con riferimento ai parametri Ptot e forme azotate di cui alla Tabella 3, per gli impianti recapitanti in aree diverse da quelle sensibili</t>
  </si>
  <si>
    <t>di cui volume totale in uscita dagli impianti di depurazione nei quali sono attivi processi di recupero dei materiali</t>
  </si>
  <si>
    <r>
      <t>∑U</t>
    </r>
    <r>
      <rPr>
        <vertAlign val="subscript"/>
        <sz val="11"/>
        <rFont val="Calibri"/>
        <family val="2"/>
        <scheme val="minor"/>
      </rPr>
      <t>SR1ind</t>
    </r>
    <r>
      <rPr>
        <sz val="11"/>
        <rFont val="Calibri"/>
        <family val="2"/>
        <scheme val="minor"/>
      </rPr>
      <t xml:space="preserve"> </t>
    </r>
  </si>
  <si>
    <r>
      <t>∑U</t>
    </r>
    <r>
      <rPr>
        <vertAlign val="subscript"/>
        <sz val="11"/>
        <rFont val="Calibri"/>
        <family val="2"/>
        <scheme val="minor"/>
      </rPr>
      <t>SR2ind</t>
    </r>
    <r>
      <rPr>
        <sz val="11"/>
        <rFont val="Calibri"/>
        <family val="2"/>
        <scheme val="minor"/>
      </rPr>
      <t xml:space="preserve"> </t>
    </r>
  </si>
  <si>
    <r>
      <t>∑U</t>
    </r>
    <r>
      <rPr>
        <vertAlign val="subscript"/>
        <sz val="11"/>
        <rFont val="Calibri"/>
        <family val="2"/>
        <scheme val="minor"/>
      </rPr>
      <t>SPind</t>
    </r>
    <r>
      <rPr>
        <sz val="11"/>
        <rFont val="Calibri"/>
        <family val="2"/>
        <scheme val="minor"/>
      </rPr>
      <t xml:space="preserve"> </t>
    </r>
  </si>
  <si>
    <r>
      <t>Ind</t>
    </r>
    <r>
      <rPr>
        <vertAlign val="subscript"/>
        <sz val="11"/>
        <rFont val="Calibri"/>
        <family val="2"/>
        <scheme val="minor"/>
      </rPr>
      <t>C,m</t>
    </r>
  </si>
  <si>
    <r>
      <t>Ind</t>
    </r>
    <r>
      <rPr>
        <vertAlign val="subscript"/>
        <sz val="11"/>
        <rFont val="Calibri"/>
        <family val="2"/>
        <scheme val="minor"/>
      </rPr>
      <t>NC,m</t>
    </r>
  </si>
  <si>
    <t>Indicare lo sviluppo lineare delle condotte di allaccio parzialmente georeferenziate</t>
  </si>
  <si>
    <t>Vedere TIMSII, comma 15.1. Non è la somma dei "di cui" sottostanti. Includere anche i tentativi su utenti non più attivi al 31/12  dell’anno a</t>
  </si>
  <si>
    <t>Vedere TIMSII, comma 15.1. Includere anche i tentativi su utenti non più attivi al 31/12  dell’anno a</t>
  </si>
  <si>
    <t>Vedere TIMSII, comma 15.1.  Includere anche i tentativi su utenti non più attivi al 31/12  dell’anno a</t>
  </si>
  <si>
    <t>Definizione obiettivo 2025</t>
  </si>
  <si>
    <t>M0</t>
  </si>
  <si>
    <r>
      <t>Presenza prerequisito Preq4</t>
    </r>
    <r>
      <rPr>
        <b/>
        <vertAlign val="subscript"/>
        <sz val="11"/>
        <rFont val="Calibri"/>
        <family val="2"/>
        <scheme val="minor"/>
      </rPr>
      <t>M0</t>
    </r>
  </si>
  <si>
    <t>Valore obiettivo DISP</t>
  </si>
  <si>
    <t>di cui campioni con superamento dei limiti della Parte C e/o D dell'All. 1 del d.lgs. 18/2023</t>
  </si>
  <si>
    <t xml:space="preserve">Vedere RQTI al comma 10.5 </t>
  </si>
  <si>
    <t>Si considerano solo gli impianti di potenzialità ≥ 2.000 A.E. (o 10.000 A.E. se recapitanti in acque costiere) 
Considerare i campioni di cui alla voce ∑Cimp,DEP-cnc, cui si sommano gli eventuali campioni con superamento dei limiti per gli ulteriori parametri di Tabella 3</t>
  </si>
  <si>
    <t>Si considerano solo gli impianti di potenzialità ≥ 2.000 A.E. (o 10.000 A.E. se recapitanti in acque costiere).
Considerare i campioni di cui alla voce ∑Cimp,DEP-tot, cui si sommano gli eventuali campioni con analisi degli ulteriori parametri di Tabella 3</t>
  </si>
  <si>
    <t>di cui con trattamento sino al quaternario</t>
  </si>
  <si>
    <t>di cui confluito in trattamenti sino al quaternario</t>
  </si>
  <si>
    <t>Numero di campioni con superamento di almeno un limite per i parametri Ptot e/o forme azotate che non sono stati conteggiati al numeratore di M6 in virtù di deroghe concesse per il periodo irriguo, in caso di riutilizzo dei reflui depurati a fini agricoli</t>
  </si>
  <si>
    <t>Sul totale degli impianti soggetti ad M6</t>
  </si>
  <si>
    <t>ATO Friuli-Venezia Giulia</t>
  </si>
  <si>
    <t>ATI 1 e 2 - Ambito 1 e Ambito 2</t>
  </si>
  <si>
    <t>ATI 3 - Ambito 3</t>
  </si>
  <si>
    <t>ATI 4 - Ambito 4</t>
  </si>
  <si>
    <t>COMUNE DI CAVALESE</t>
  </si>
  <si>
    <t>COMUNE DI MALE'</t>
  </si>
  <si>
    <t>AMAMBIENTE</t>
  </si>
  <si>
    <t>COMUNE DI TIRES</t>
  </si>
  <si>
    <t>Gemeinde Sterzing / Comune di Vipiteno</t>
  </si>
  <si>
    <t>ATAC CIVITANOVA SPA</t>
  </si>
  <si>
    <t>COMUNE DI OSSANA</t>
  </si>
  <si>
    <t>ASM Bressanone SpA</t>
  </si>
  <si>
    <t>COMUNE DI CURON VENOSTA</t>
  </si>
  <si>
    <t>AIR AZIENDA INTERCOMUNALE ROTALIANA S.P.A. SOCIETÀ BENEFIT</t>
  </si>
  <si>
    <t>RUZZO RETI SPA</t>
  </si>
  <si>
    <t>SOLOFRA SERVIZI SpA</t>
  </si>
  <si>
    <t>Comune di Moso in Passiria</t>
  </si>
  <si>
    <t>Gemeinde St. Leonhard in Passeier / Comune di San Leonardo in Passiria</t>
  </si>
  <si>
    <t>Gemeinde Luesen / Comune di Luson</t>
  </si>
  <si>
    <t>Lereti S.p.A.</t>
  </si>
  <si>
    <t>Gemeinde Terlan / Comune di Terlano</t>
  </si>
  <si>
    <t>GEMEINDE JENESIEN / COMUNE DI SAN GENESIO ATESINO</t>
  </si>
  <si>
    <t>ENERGIA VERDE ED IDRICA S.P.A.</t>
  </si>
  <si>
    <t>CONSORZIO ACQUEDOTTISTICO MARSICANO SPA</t>
  </si>
  <si>
    <t>ASIS SALERNITANA RETI E IMPIANTI S.P.A.</t>
  </si>
  <si>
    <t>ABM NEXT SRL</t>
  </si>
  <si>
    <t>ACEA MOLISE SRL</t>
  </si>
  <si>
    <t>EGEA ACQUE S.P.A.</t>
  </si>
  <si>
    <t>COMUNE DI VASTOGIRARDI</t>
  </si>
  <si>
    <t>AZIENDA SPECIALE COMUNI RIUNITI</t>
  </si>
  <si>
    <t>COMUNE DI PIETRELCINA</t>
  </si>
  <si>
    <t>sub ATO Monte Emilius - Piana d'Aosta</t>
  </si>
  <si>
    <t>I.T.L. Spa</t>
  </si>
  <si>
    <t>Comune di Rosolini</t>
  </si>
  <si>
    <t>Sorical</t>
  </si>
  <si>
    <t>ALTO TREVIGIANO SERVIZI S.P.A.</t>
  </si>
  <si>
    <t>ACQUEDOTTO ROCCA ROSSA S.R.L.</t>
  </si>
  <si>
    <t>ABC Acqua Bene Comune Napoli a.s.</t>
  </si>
  <si>
    <t>COMUNE DI BUONABITACOLO</t>
  </si>
  <si>
    <t>Ente Acquedotti Siciliani in liquidazione coatta amministrativa</t>
  </si>
  <si>
    <t>COMUNE DI BONDONE</t>
  </si>
  <si>
    <t>COMUNE DI LIPARI</t>
  </si>
  <si>
    <t>Marktgemeinde Kaltern an der Weinstraße / Comune di Caldaro sulla strada del vino</t>
  </si>
  <si>
    <t>Comune di Monguelfo-Tesido</t>
  </si>
  <si>
    <t>Trinkwasser Genossenschaft Kastelruth m.b.H.</t>
  </si>
  <si>
    <t>COMUNE DI RHEMES-NOTRE-DAME</t>
  </si>
  <si>
    <t>COMUNE DI SESTO</t>
  </si>
  <si>
    <t>Società Cooperativa Energie Pfunders</t>
  </si>
  <si>
    <t>Comune di Magrè sulla Strada del Vino</t>
  </si>
  <si>
    <t>AMMINISTRAZIONE SEP. B.U.C. LUTAGO</t>
  </si>
  <si>
    <t>AMMINISTRAZIONE SEP. B.U.C. RIO BIANCO</t>
  </si>
  <si>
    <t>Comune di La Valle</t>
  </si>
  <si>
    <t>ASBUC SPINGA</t>
  </si>
  <si>
    <t>Trink- und Löschwasserinteressentschaft Karnol</t>
  </si>
  <si>
    <t>Ammistrazione separata di beni di uso civico frazione San Benedetto</t>
  </si>
  <si>
    <t>Provincia Autonoma di Trento - Agenzia per la Depurazione - Servizio Gestione degli Impianti</t>
  </si>
  <si>
    <t>Trinkwasserinteressentschaft Großberg-Meransen</t>
  </si>
  <si>
    <t>Comune di Andriano</t>
  </si>
  <si>
    <t>COMUNE DI NOVA PONENTE</t>
  </si>
  <si>
    <t>Sistemi Salerno - Servizi idrici Spa</t>
  </si>
  <si>
    <t>Comune di Casagiove</t>
  </si>
  <si>
    <t>Comune di Cosio d'Arroscia</t>
  </si>
  <si>
    <t>COMUNE DI CASSANO IRPINO</t>
  </si>
  <si>
    <t>COMUNE DI AQUILA D'ARROSCIA</t>
  </si>
  <si>
    <t>RIVIERACQUA S.P.A</t>
  </si>
  <si>
    <t>COMUNE DI CHIUSANICO</t>
  </si>
  <si>
    <t>COMUNE DI GUGLIONESI</t>
  </si>
  <si>
    <t>COMUNE DI GUARDIALFIERA</t>
  </si>
  <si>
    <t>COMUNE DI CASTEL BARONIA</t>
  </si>
  <si>
    <t>COMUNE DI LONGONE SABINO</t>
  </si>
  <si>
    <t>COMUNE DI CASTELFRANCI</t>
  </si>
  <si>
    <t>COMUNE DI CALITRI</t>
  </si>
  <si>
    <t>COMUNE DI MOJO ALCANTARA</t>
  </si>
  <si>
    <t>COMUNE DI MONTELEONE DI PUGLIA</t>
  </si>
  <si>
    <t>COMUNE DI AVERSA</t>
  </si>
  <si>
    <t>CONSORZIO DI BONIFICA TERRE D'APULIA</t>
  </si>
  <si>
    <t>COMUNE DI CASTELDELFINO</t>
  </si>
  <si>
    <t>COMUNE DI CUSIO</t>
  </si>
  <si>
    <t>COMUNE DI STEFANACONI</t>
  </si>
  <si>
    <t>comune di bosia</t>
  </si>
  <si>
    <t>Comune di Maiolo</t>
  </si>
  <si>
    <t>Consorzio Acquedotto Campo-Salieto</t>
  </si>
  <si>
    <t>AQA SRL SOCIETA' BENEFIT</t>
  </si>
  <si>
    <t>Comune di Giardinello</t>
  </si>
  <si>
    <t>COMUNE GERACI SICULO</t>
  </si>
  <si>
    <t>TRINKWASSER-GENOSSENSCHAFT TERLAN</t>
  </si>
  <si>
    <t>UNIONE DEI COMUNI DELL'ALTA ANAUNIA</t>
  </si>
  <si>
    <t>SOCIETA' COOPERATIVA ACQUA POTABILE DI CHIAVERANO</t>
  </si>
  <si>
    <t>cooperativa acqua potabile bienca srl</t>
  </si>
  <si>
    <t>COMUNE DI VANZONE CON SAN CARLO</t>
  </si>
  <si>
    <t>COMUNE DI SAN BIAGIO SARACINISCO</t>
  </si>
  <si>
    <t>COMUNE DI GIARDINI NAXOS</t>
  </si>
  <si>
    <t>Nepta S.p.A.</t>
  </si>
  <si>
    <t>COMUNE DI CIMINA'</t>
  </si>
  <si>
    <t>COMUNE DI CASALVECCHIO SICULO</t>
  </si>
  <si>
    <t>COMUNE DI CONFLENTI</t>
  </si>
  <si>
    <t>CONSORZIO ACQUA POTABILE CAUSSO</t>
  </si>
  <si>
    <t>Comune di Bisignano</t>
  </si>
  <si>
    <t>COMUNE DI ROMETTA</t>
  </si>
  <si>
    <t>Comune di Villa Literno</t>
  </si>
  <si>
    <t>COMUNE DI PARETE</t>
  </si>
  <si>
    <t>COMUNE DI LATTARICO</t>
  </si>
  <si>
    <t>COMUNE DI TIRIOLO</t>
  </si>
  <si>
    <t>COMUNE DI ORTOVERO</t>
  </si>
  <si>
    <t>COMUNE DI CASTEL SAN VINCENZO</t>
  </si>
  <si>
    <t>COMUNE DI SANTO STEFANO DI ROGLIANO</t>
  </si>
  <si>
    <t>COMUNE DI MORRA DE SANCTIS</t>
  </si>
  <si>
    <t>COMUNE DI ARNASCO</t>
  </si>
  <si>
    <t>COMUNE DI SAN VINCENZO LA COSTA</t>
  </si>
  <si>
    <t>CAPT CONSORZIO ACQUA POTABILE DI TAVIGLIANO S.</t>
  </si>
  <si>
    <t>CUAPTI CONSORZIO UTENTI ACQUA POTATILE TAVIGLIANO INFERIORE</t>
  </si>
  <si>
    <t>COMUNE DI SAN DEMETRIO CORONE</t>
  </si>
  <si>
    <t>COMUNE DI CROPANI</t>
  </si>
  <si>
    <t>COMUNE DI VERBICARO</t>
  </si>
  <si>
    <t>COMUNE DI ARENA</t>
  </si>
  <si>
    <t>Comune di Sant'Andrea Apostolo dello Ionio</t>
  </si>
  <si>
    <t>COMUNE DI PALERMITI</t>
  </si>
  <si>
    <t>Comune di Fiumara</t>
  </si>
  <si>
    <t>comune di giano vetusto</t>
  </si>
  <si>
    <t>comune di grazzanise</t>
  </si>
  <si>
    <t>COMUNE DI SAN MARTINO SANNITA</t>
  </si>
  <si>
    <t>comune di alife</t>
  </si>
  <si>
    <t>CONSORZIO GESTORI SERVIZI IDRICI S.C.R.L.</t>
  </si>
  <si>
    <t>COMUNE DI BELVEDERE DI SPINELLO</t>
  </si>
  <si>
    <t>Comune di Marebbe</t>
  </si>
  <si>
    <t>COMUNE DI BORGO D'ANAUNIA</t>
  </si>
  <si>
    <t>SOCIETA' ACQUE POTABILI DI COSSILA - S.R.L.</t>
  </si>
  <si>
    <t>Comune di Novella</t>
  </si>
  <si>
    <t>COMUNE DI MANDATORICCIO</t>
  </si>
  <si>
    <t>COMUNE DI SALAPARUTA</t>
  </si>
  <si>
    <t>COMUNE DI VILLE DI FIEMME</t>
  </si>
  <si>
    <t>comune di figline vegliaturo</t>
  </si>
  <si>
    <t>COMUNE DI CIS</t>
  </si>
  <si>
    <t>COMUNE DI BRESIMO</t>
  </si>
  <si>
    <t>COMUNE DI PIETRASTORNINA</t>
  </si>
  <si>
    <t>comune di Montella</t>
  </si>
  <si>
    <t>comune di fragneto monforte</t>
  </si>
  <si>
    <t>COMUNE DI MINEO</t>
  </si>
  <si>
    <t>COMUNE DI NOCERA TERINESE</t>
  </si>
  <si>
    <t>COMUNE DI MELITO IRPINO</t>
  </si>
  <si>
    <t>COMUNE DI SIRIGNANO</t>
  </si>
  <si>
    <t>Comune di Sant'Antimo</t>
  </si>
  <si>
    <t>COMUNE DI FRANCOFONTE</t>
  </si>
  <si>
    <t>COMUNE DI PRATELLA</t>
  </si>
  <si>
    <t>Comune di Montefredane</t>
  </si>
  <si>
    <t>Comune di Sparanise</t>
  </si>
  <si>
    <t>COMUNE DI CERVINO</t>
  </si>
  <si>
    <t>COMUNE DI FANO ADRIANO</t>
  </si>
  <si>
    <t>Comune di Pratola Serra</t>
  </si>
  <si>
    <t>GIBILROSSA ACQUE</t>
  </si>
  <si>
    <t>COMUNE DI NICOTERA</t>
  </si>
  <si>
    <t>COMUNE DI SAN MANGO D'AQUINO</t>
  </si>
  <si>
    <t>COMUNE DI CASALUCE</t>
  </si>
  <si>
    <t>Comune di Sant'Eufemia d'Aspromonte</t>
  </si>
  <si>
    <t>ACQUE LO CASTRO SRL</t>
  </si>
  <si>
    <t>COMUNE DI VALDERICE</t>
  </si>
  <si>
    <t>Consorzio di Bonifica n. 8 Ragusa mandatario senza rappresentanza del Consorzio di Bonifica della Sicilia Orientale</t>
  </si>
  <si>
    <t>AM+ SPA</t>
  </si>
  <si>
    <t>A.I.C.A. - AZIENDA IDRICA COMUNI AGRIGENTINI</t>
  </si>
  <si>
    <t>COMUNE CAMPIONE D'ITALIA</t>
  </si>
  <si>
    <t>Funivia Plan de Corones</t>
  </si>
  <si>
    <t>Comune di Limina</t>
  </si>
  <si>
    <t>COMUNE DI MASCALUCIA</t>
  </si>
  <si>
    <t>COMUNE DI CAMIGLIANO</t>
  </si>
  <si>
    <t>Comune di Teora</t>
  </si>
  <si>
    <t>GRIM SCARL</t>
  </si>
  <si>
    <t>COMUNE DI LENI</t>
  </si>
  <si>
    <t>IBLEA ACQUE SPA IN HOUSE</t>
  </si>
  <si>
    <t>COMUNE DI PALIZZI</t>
  </si>
  <si>
    <t>Comune di Cardinale</t>
  </si>
  <si>
    <t>Comune di Buseto Palizzolo</t>
  </si>
  <si>
    <t>Comune di Sperone</t>
  </si>
  <si>
    <t>COMUNE DI PESCO SANNITA</t>
  </si>
  <si>
    <t>COMUNE DI SAN GIORGIO LA MOLARA</t>
  </si>
  <si>
    <t>ACQUEDOTTO - Dati relativi agli indennizzi per mancato rispetto degli Standard Specifici di Qualità tecnica</t>
  </si>
  <si>
    <t>ACQUEDOTTO - Dati relativi agli indennizzi per mancato rispetto degli Standard Specifici sulla misura (anche ai sensi della delibera 609/2021/R/idr)</t>
  </si>
  <si>
    <t>Si intendono tutti gli impianti di depurazione gestiti (ivi inclusi quelli non considerati per il calcolo di M6)</t>
  </si>
  <si>
    <t>Somma dei volumi di disponibilità idrica a livello di gestione del SII</t>
  </si>
  <si>
    <t>Somma dei volumi di disponibilità idrica a livello sovraordinato</t>
  </si>
  <si>
    <t>Sommatoria degli utenti finali (esclusi utenti indiretti) con diritto all'indennizzo automatico per SP</t>
  </si>
  <si>
    <t>Inclusi gli eventuali campioni con determinazione anche dei parametri BOD5,COD,SST</t>
  </si>
  <si>
    <t>vasche Imhoff</t>
  </si>
  <si>
    <t>trattamento sino al primario</t>
  </si>
  <si>
    <t>trattamento sino al secondario</t>
  </si>
  <si>
    <t>trattamento sino al terziario</t>
  </si>
  <si>
    <t>Totale</t>
  </si>
  <si>
    <t>&lt; 1.000 A.E.</t>
  </si>
  <si>
    <t xml:space="preserve">1000&lt;= A.E. &lt; 2.000 </t>
  </si>
  <si>
    <t>2.000 &lt;= A.E. &lt; 10.000</t>
  </si>
  <si>
    <t>100.000 &lt;= A.E. &lt; 500.000</t>
  </si>
  <si>
    <t>A.E. &gt;= 500.000</t>
  </si>
  <si>
    <t>Tipo trattamento/ Potenzialità</t>
  </si>
  <si>
    <t>trattamento sino al quaternario</t>
  </si>
  <si>
    <t>di cui &lt; 1.000 A.E.</t>
  </si>
  <si>
    <t xml:space="preserve">di cui 1.000 &lt;= A.E. &lt; 2.000 </t>
  </si>
  <si>
    <t>di cui 2.000 &lt;= A.E. &lt; 10.000</t>
  </si>
  <si>
    <t>di cui con potenzialità A.E. &lt; 1.000</t>
  </si>
  <si>
    <t xml:space="preserve">di cui con potenzialità 1.000 &lt;= A.E. &lt; 2.000 </t>
  </si>
  <si>
    <t xml:space="preserve">di cui con potenzialità 2.000 &lt;= A.E. &lt; 10.000 </t>
  </si>
  <si>
    <r>
      <t>Ndep</t>
    </r>
    <r>
      <rPr>
        <vertAlign val="subscript"/>
        <sz val="11"/>
        <rFont val="Calibri"/>
        <family val="2"/>
        <scheme val="minor"/>
      </rPr>
      <t>B</t>
    </r>
  </si>
  <si>
    <t>Vedere la successiva sezione "Numero di depuratori per tipologia di trattamento e potenzialità di trattamento"</t>
  </si>
  <si>
    <t>Vedere la successiva sezione "Carico inquinante collettato (A.E.) per tipologia di trattamento e potenzialità di trattamento"</t>
  </si>
  <si>
    <t>Wimp_SII</t>
  </si>
  <si>
    <t>Wesp_SII</t>
  </si>
  <si>
    <t>Estensione rete di adduzione telecontrollata</t>
  </si>
  <si>
    <t>Estensione rete di distribuzione telecontrollata</t>
  </si>
  <si>
    <t xml:space="preserve">Estensione rete distrettualizzata </t>
  </si>
  <si>
    <t>Escluse le derivazioni d’utenza. Da considerare solo i distretti permanenti</t>
  </si>
  <si>
    <t>Laddove disponibile</t>
  </si>
  <si>
    <t>Valori 2024 consuntivi</t>
  </si>
  <si>
    <t>Valori 2025 consuntivi</t>
  </si>
  <si>
    <t>RIU</t>
  </si>
  <si>
    <t>Quota dei volumi depurati destinabili al riutilizzo ma non destinati a tale finalità</t>
  </si>
  <si>
    <r>
      <t>W</t>
    </r>
    <r>
      <rPr>
        <vertAlign val="subscript"/>
        <sz val="11"/>
        <rFont val="Calibri"/>
        <family val="2"/>
        <scheme val="minor"/>
      </rPr>
      <t>DEP</t>
    </r>
  </si>
  <si>
    <t>QD1</t>
  </si>
  <si>
    <t>QD2</t>
  </si>
  <si>
    <t>Ai sensi del comma 19.10</t>
  </si>
  <si>
    <t>Vedere comma 37.3 del MTI4</t>
  </si>
  <si>
    <t>di cui eseguiti con riferimento ai parametri Ptot e Ntot per gli impianti tra 2.000 e 10.000 AE recapitanti in aree sensibili</t>
  </si>
  <si>
    <t>di cui fino a 10.000 A.E. da valutare con riferimento alla Tabella 2 dell'Allegato 5 alla Parte Terza del D.Lgs 152/2006 per meccanismo incentivante RQTI</t>
  </si>
  <si>
    <t>Se è considerato più di un gestore grossista, indicare tutti gli ID_ARERA consecutivamente, separati da un trattino</t>
  </si>
  <si>
    <t>Indicare se è rispettato il numero minimo di controlli per i parametri fosforo e forme azotate per applicazione premialità RQTI</t>
  </si>
  <si>
    <t>Indicare se è rispettato il numero minimo di campioni per i parametri di cui alle tabelle 1 e 2 in base alla potenzialità dell'impianto di trattamento per applicazione premialità RQTI</t>
  </si>
  <si>
    <t>di cui recapitanti in area sensibile o in bacino scolante in area sensibile</t>
  </si>
  <si>
    <t xml:space="preserve">di cui recapitanti in area non sensibile </t>
  </si>
  <si>
    <t>Romagna Acque Società delle Fonti S.p.A.</t>
  </si>
  <si>
    <t>ENTE ACQUE UMBRE-TOSCANE</t>
  </si>
  <si>
    <t>ACQUE SUD S.R.L.</t>
  </si>
  <si>
    <t>società acque dell'etna e di s.giacomo</t>
  </si>
  <si>
    <t>ACQUE PONTE DI FERRO S.n.c.dei SIGG. SANTAGATI</t>
  </si>
  <si>
    <t>IDROAGRICOLA S.R.L</t>
  </si>
  <si>
    <t>ACQUE BUFARDO E TORREROSSA SRL</t>
  </si>
  <si>
    <t>Società Acquedotti Tirreni</t>
  </si>
  <si>
    <t>SO.GE.IM. di Sorbello Rosario &amp; C.</t>
  </si>
  <si>
    <t>INTEGRA CONCESSIONI SRL</t>
  </si>
  <si>
    <t>Siciliacque S.p.A.</t>
  </si>
  <si>
    <t>ACQUA CAMPANIA SPA</t>
  </si>
  <si>
    <t>GARAFFO  &amp; SCILIO S.P.A.</t>
  </si>
  <si>
    <t>ACQUE MADONNA DEL CARMINE</t>
  </si>
  <si>
    <t>FRATELLI  GRASSI  NICOTRA  ACQUE</t>
  </si>
  <si>
    <t>ACQUE FLORESTA SRL</t>
  </si>
  <si>
    <t>SOCIETA' ACQUEDOTTO VALLE DEL LAMONE S.R.L.</t>
  </si>
  <si>
    <t>comune di gottasecca</t>
  </si>
  <si>
    <t>GANDOVERE DEPURAZIONE SRL</t>
  </si>
  <si>
    <t>Acque  Ventrilla  di  Ventrilla  Tania</t>
  </si>
  <si>
    <t>COMUNE DI BUONALBERGO</t>
  </si>
  <si>
    <t>Acque Sud Service S.r.l.</t>
  </si>
  <si>
    <t>COMUNE DI ABETONE CUTIGLIANO</t>
  </si>
  <si>
    <t>comune di caserta</t>
  </si>
  <si>
    <t>ACQUE PUBBLICHE SAVONESI S.C.P.A.</t>
  </si>
  <si>
    <t>Obiettivo MTI-4</t>
  </si>
  <si>
    <t>Valore obiettivo RIU</t>
  </si>
  <si>
    <t>gg/mm/aa</t>
  </si>
  <si>
    <t>ATO - Distretto Irpino</t>
  </si>
  <si>
    <t>ATO - Distretto Sannita</t>
  </si>
  <si>
    <t>Volumi di acque reflue urbane  trattate conformemente ai requisiti di cui alla direttiva 91/271/CEE e sottoposte a ulteriore trattamento secondo quanto previsto dalla normativa vigente (comma 37.3 del MTI-4)</t>
  </si>
  <si>
    <t>Volumi di acque reflue urbane consegnati per essere impiegati dall’utilizzatore finale (comma 37.3 del MTI-4)</t>
  </si>
  <si>
    <t>ARCA srl</t>
  </si>
  <si>
    <t>Verifica mancato peggioramento classe</t>
  </si>
  <si>
    <t>Valori 2023 per definizione obiettivi</t>
  </si>
  <si>
    <t>Anno di riferimento per definizione obiettivi</t>
  </si>
  <si>
    <t>Definizione obiettivo 2024</t>
  </si>
  <si>
    <t xml:space="preserve">Considerare la quota parte di volume dell’anno a di riferimento, compresa tra il 1° gennaio dell’anno a e la data dell’ultima lettura valida del misuratore. La misurazione si intende valida anche se effettuata in data successiva al 31/12, ma entro il 31/1 dell'anno successivo a quello di riferimento (e.g. 31/1/2025 per il 2024). </t>
  </si>
  <si>
    <t xml:space="preserve">Considerare la quota parte di consumo riferita all’anno a di riferimento, compresa tra il 1° gennaio dell’anno a e la data dell’ultima lettura valida del misuratore. La misurazione si intende valida anche se effettuata in data successiva al 31/12, ma entro il 31/1 dell'anno successivo a quello di riferimento (e.g. 31/1/2025 per il 2024). </t>
  </si>
  <si>
    <r>
      <t>C</t>
    </r>
    <r>
      <rPr>
        <vertAlign val="subscript"/>
        <sz val="11"/>
        <rFont val="Calibri"/>
        <family val="2"/>
        <scheme val="minor"/>
      </rPr>
      <t>ACQ-cnc</t>
    </r>
  </si>
  <si>
    <r>
      <t>P</t>
    </r>
    <r>
      <rPr>
        <vertAlign val="subscript"/>
        <sz val="11"/>
        <rFont val="Calibri"/>
        <family val="2"/>
        <scheme val="minor"/>
      </rPr>
      <t>ACQ-pnc-D</t>
    </r>
  </si>
  <si>
    <r>
      <t xml:space="preserve">Ai sensi del comma 10.5 della RQTI, selezionare "x" se il gestore ha adottato, anche in modo parziale e/o solo su una porzione limitata del territorio servito, il modello Water Safety Plan, inoltrando la richiesta di approvazione al CeNSiA entro la data del 31 dicembre dell’anno </t>
    </r>
    <r>
      <rPr>
        <i/>
        <sz val="10"/>
        <rFont val="Calibri"/>
        <family val="2"/>
        <scheme val="minor"/>
      </rPr>
      <t>a</t>
    </r>
    <r>
      <rPr>
        <sz val="10"/>
        <rFont val="Calibri"/>
        <family val="2"/>
        <scheme val="minor"/>
      </rPr>
      <t>.</t>
    </r>
  </si>
  <si>
    <r>
      <t>U</t>
    </r>
    <r>
      <rPr>
        <vertAlign val="subscript"/>
        <sz val="11"/>
        <rFont val="Calibri"/>
        <family val="2"/>
        <scheme val="minor"/>
      </rPr>
      <t>WSP_real</t>
    </r>
  </si>
  <si>
    <r>
      <t>EE</t>
    </r>
    <r>
      <rPr>
        <vertAlign val="subscript"/>
        <sz val="11"/>
        <rFont val="Calibri"/>
        <family val="2"/>
        <scheme val="minor"/>
      </rPr>
      <t>prod_BIO</t>
    </r>
  </si>
  <si>
    <r>
      <t>EE</t>
    </r>
    <r>
      <rPr>
        <vertAlign val="subscript"/>
        <sz val="11"/>
        <rFont val="Calibri"/>
        <family val="2"/>
        <scheme val="minor"/>
      </rPr>
      <t>prel</t>
    </r>
  </si>
  <si>
    <r>
      <t>Gas</t>
    </r>
    <r>
      <rPr>
        <vertAlign val="subscript"/>
        <sz val="11"/>
        <rFont val="Calibri"/>
        <family val="2"/>
        <scheme val="minor"/>
      </rPr>
      <t>prel</t>
    </r>
  </si>
  <si>
    <r>
      <t>EE</t>
    </r>
    <r>
      <rPr>
        <vertAlign val="subscript"/>
        <sz val="11"/>
        <rFont val="Calibri"/>
        <family val="2"/>
        <scheme val="minor"/>
      </rPr>
      <t>prod</t>
    </r>
  </si>
  <si>
    <r>
      <t>EE</t>
    </r>
    <r>
      <rPr>
        <vertAlign val="subscript"/>
        <sz val="11"/>
        <rFont val="Calibri"/>
        <family val="2"/>
        <scheme val="minor"/>
      </rPr>
      <t>prod_FER</t>
    </r>
  </si>
  <si>
    <r>
      <t>EE</t>
    </r>
    <r>
      <rPr>
        <vertAlign val="subscript"/>
        <sz val="11"/>
        <rFont val="Calibri"/>
        <family val="2"/>
        <scheme val="minor"/>
      </rPr>
      <t>prod_pir</t>
    </r>
  </si>
  <si>
    <r>
      <t>EE</t>
    </r>
    <r>
      <rPr>
        <vertAlign val="subscript"/>
        <sz val="11"/>
        <rFont val="Calibri"/>
        <family val="2"/>
        <scheme val="minor"/>
      </rPr>
      <t>prod_inc</t>
    </r>
  </si>
  <si>
    <r>
      <t>EE</t>
    </r>
    <r>
      <rPr>
        <vertAlign val="subscript"/>
        <sz val="11"/>
        <rFont val="Calibri"/>
        <family val="2"/>
        <scheme val="minor"/>
      </rPr>
      <t>prod_al</t>
    </r>
  </si>
  <si>
    <r>
      <t>ET</t>
    </r>
    <r>
      <rPr>
        <vertAlign val="subscript"/>
        <sz val="11"/>
        <rFont val="Calibri"/>
        <family val="2"/>
        <scheme val="minor"/>
      </rPr>
      <t>prod</t>
    </r>
  </si>
  <si>
    <r>
      <t>ET</t>
    </r>
    <r>
      <rPr>
        <vertAlign val="subscript"/>
        <sz val="11"/>
        <rFont val="Calibri"/>
        <family val="2"/>
        <scheme val="minor"/>
      </rPr>
      <t>prod_BIO</t>
    </r>
  </si>
  <si>
    <r>
      <t>ET</t>
    </r>
    <r>
      <rPr>
        <vertAlign val="subscript"/>
        <sz val="11"/>
        <rFont val="Calibri"/>
        <family val="2"/>
        <scheme val="minor"/>
      </rPr>
      <t>prod_pir</t>
    </r>
  </si>
  <si>
    <r>
      <t>ET</t>
    </r>
    <r>
      <rPr>
        <vertAlign val="subscript"/>
        <sz val="11"/>
        <rFont val="Calibri"/>
        <family val="2"/>
        <scheme val="minor"/>
      </rPr>
      <t>prod_inc</t>
    </r>
  </si>
  <si>
    <r>
      <t>ET</t>
    </r>
    <r>
      <rPr>
        <vertAlign val="subscript"/>
        <sz val="11"/>
        <rFont val="Calibri"/>
        <family val="2"/>
        <scheme val="minor"/>
      </rPr>
      <t>prod_al</t>
    </r>
  </si>
  <si>
    <r>
      <t>Gas</t>
    </r>
    <r>
      <rPr>
        <vertAlign val="subscript"/>
        <sz val="11"/>
        <rFont val="Calibri"/>
        <family val="2"/>
        <scheme val="minor"/>
      </rPr>
      <t>prod</t>
    </r>
  </si>
  <si>
    <r>
      <t>Gas</t>
    </r>
    <r>
      <rPr>
        <vertAlign val="subscript"/>
        <sz val="11"/>
        <rFont val="Calibri"/>
        <family val="2"/>
        <scheme val="minor"/>
      </rPr>
      <t>prod_imm</t>
    </r>
  </si>
  <si>
    <r>
      <t>M</t>
    </r>
    <r>
      <rPr>
        <vertAlign val="subscript"/>
        <sz val="11"/>
        <rFont val="Calibri"/>
        <family val="2"/>
        <scheme val="minor"/>
      </rPr>
      <t>rec</t>
    </r>
  </si>
  <si>
    <r>
      <t>M</t>
    </r>
    <r>
      <rPr>
        <vertAlign val="subscript"/>
        <sz val="11"/>
        <rFont val="Calibri"/>
        <family val="2"/>
        <scheme val="minor"/>
      </rPr>
      <t>rec_N</t>
    </r>
  </si>
  <si>
    <r>
      <t>M</t>
    </r>
    <r>
      <rPr>
        <vertAlign val="subscript"/>
        <sz val="11"/>
        <rFont val="Calibri"/>
        <family val="2"/>
        <scheme val="minor"/>
      </rPr>
      <t>rec_P</t>
    </r>
  </si>
  <si>
    <r>
      <t>M</t>
    </r>
    <r>
      <rPr>
        <vertAlign val="subscript"/>
        <sz val="11"/>
        <rFont val="Calibri"/>
        <family val="2"/>
        <scheme val="minor"/>
      </rPr>
      <t>rec_al</t>
    </r>
  </si>
  <si>
    <t>Si tratta dell'energia prodotta e avviata a operazioni di recupero energetico</t>
  </si>
  <si>
    <r>
      <t>W</t>
    </r>
    <r>
      <rPr>
        <vertAlign val="subscript"/>
        <sz val="11"/>
        <rFont val="Calibri"/>
        <family val="2"/>
        <scheme val="minor"/>
      </rPr>
      <t>DEP_mat</t>
    </r>
  </si>
  <si>
    <r>
      <t>N*</t>
    </r>
    <r>
      <rPr>
        <vertAlign val="subscript"/>
        <sz val="11"/>
        <rFont val="Calibri"/>
        <family val="2"/>
        <scheme val="minor"/>
      </rPr>
      <t>AS</t>
    </r>
  </si>
  <si>
    <r>
      <t>N*</t>
    </r>
    <r>
      <rPr>
        <vertAlign val="subscript"/>
        <sz val="11"/>
        <rFont val="Calibri"/>
        <family val="2"/>
        <scheme val="minor"/>
      </rPr>
      <t>ANS</t>
    </r>
  </si>
  <si>
    <r>
      <t>N*</t>
    </r>
    <r>
      <rPr>
        <vertAlign val="subscript"/>
        <sz val="11"/>
        <rFont val="Calibri"/>
        <family val="2"/>
        <scheme val="minor"/>
      </rPr>
      <t>Tab1</t>
    </r>
  </si>
  <si>
    <r>
      <t>N*</t>
    </r>
    <r>
      <rPr>
        <vertAlign val="subscript"/>
        <sz val="11"/>
        <rFont val="Calibri"/>
        <family val="2"/>
        <scheme val="minor"/>
      </rPr>
      <t>Tab3_N-P_RQTI</t>
    </r>
  </si>
  <si>
    <r>
      <t>N*</t>
    </r>
    <r>
      <rPr>
        <vertAlign val="subscript"/>
        <sz val="11"/>
        <rFont val="Calibri"/>
        <family val="2"/>
        <scheme val="minor"/>
      </rPr>
      <t>Tab3_N-P_152</t>
    </r>
  </si>
  <si>
    <r>
      <t>N*</t>
    </r>
    <r>
      <rPr>
        <vertAlign val="subscript"/>
        <sz val="11"/>
        <rFont val="Calibri"/>
        <family val="2"/>
        <scheme val="minor"/>
      </rPr>
      <t>Tab2_N-P_RQTI</t>
    </r>
  </si>
  <si>
    <t>Si intendono gli impianti di acque reflue urbane recapitanti in aree sensibili o in bacini drenanti nelle aree sensibili, provenienti da agglomerati con carico generato inferiore a 10.000 A.E.</t>
  </si>
  <si>
    <r>
      <t>∑C</t>
    </r>
    <r>
      <rPr>
        <vertAlign val="subscript"/>
        <sz val="11"/>
        <rFont val="Calibri"/>
        <family val="2"/>
        <scheme val="minor"/>
      </rPr>
      <t>imp,DEP-N-P2</t>
    </r>
  </si>
  <si>
    <r>
      <t>∑C</t>
    </r>
    <r>
      <rPr>
        <vertAlign val="subscript"/>
        <sz val="11"/>
        <rFont val="Calibri"/>
        <family val="2"/>
        <scheme val="minor"/>
      </rPr>
      <t>imp,DEP-N-P3</t>
    </r>
  </si>
  <si>
    <r>
      <t>∑C</t>
    </r>
    <r>
      <rPr>
        <vertAlign val="subscript"/>
        <sz val="11"/>
        <rFont val="Calibri"/>
        <family val="2"/>
        <scheme val="minor"/>
      </rPr>
      <t>imp,DEP-cnc,T1-3</t>
    </r>
  </si>
  <si>
    <r>
      <t>∑C</t>
    </r>
    <r>
      <rPr>
        <vertAlign val="subscript"/>
        <sz val="11"/>
        <rFont val="Calibri"/>
        <family val="2"/>
        <scheme val="minor"/>
      </rPr>
      <t>imp,DEP-cnc,T2-3</t>
    </r>
  </si>
  <si>
    <r>
      <t>∑C</t>
    </r>
    <r>
      <rPr>
        <vertAlign val="subscript"/>
        <sz val="11"/>
        <rFont val="Calibri"/>
        <family val="2"/>
        <scheme val="minor"/>
      </rPr>
      <t>imp,DEP-cnc,T3</t>
    </r>
  </si>
  <si>
    <r>
      <t>∑C</t>
    </r>
    <r>
      <rPr>
        <vertAlign val="subscript"/>
        <sz val="11"/>
        <rFont val="Calibri"/>
        <family val="2"/>
        <scheme val="minor"/>
      </rPr>
      <t>DEP</t>
    </r>
    <r>
      <rPr>
        <strike/>
        <vertAlign val="subscript"/>
        <sz val="11"/>
        <rFont val="Calibri"/>
        <family val="2"/>
        <scheme val="minor"/>
      </rPr>
      <t>-</t>
    </r>
    <r>
      <rPr>
        <vertAlign val="subscript"/>
        <sz val="11"/>
        <rFont val="Calibri"/>
        <family val="2"/>
        <scheme val="minor"/>
      </rPr>
      <t>cnc_N-P_riuso</t>
    </r>
  </si>
  <si>
    <r>
      <t>∑C</t>
    </r>
    <r>
      <rPr>
        <vertAlign val="subscript"/>
        <sz val="11"/>
        <rFont val="Calibri"/>
        <family val="2"/>
        <scheme val="minor"/>
      </rPr>
      <t>imp,DEP-tot3</t>
    </r>
  </si>
  <si>
    <r>
      <t>∑C</t>
    </r>
    <r>
      <rPr>
        <vertAlign val="subscript"/>
        <sz val="11"/>
        <rFont val="Calibri"/>
        <family val="2"/>
        <scheme val="minor"/>
      </rPr>
      <t>imp,DEP-cnc3</t>
    </r>
  </si>
  <si>
    <r>
      <t>W</t>
    </r>
    <r>
      <rPr>
        <vertAlign val="subscript"/>
        <sz val="11"/>
        <rFont val="Calibri"/>
        <family val="2"/>
        <scheme val="minor"/>
      </rPr>
      <t>DEP,r1</t>
    </r>
  </si>
  <si>
    <r>
      <t>W</t>
    </r>
    <r>
      <rPr>
        <vertAlign val="subscript"/>
        <sz val="11"/>
        <rFont val="Calibri"/>
        <family val="2"/>
        <scheme val="minor"/>
      </rPr>
      <t>DEP,r2</t>
    </r>
  </si>
  <si>
    <r>
      <t>C</t>
    </r>
    <r>
      <rPr>
        <vertAlign val="subscript"/>
        <sz val="11"/>
        <rFont val="Calibri"/>
        <family val="2"/>
        <scheme val="minor"/>
      </rPr>
      <t>DEP-min</t>
    </r>
  </si>
  <si>
    <r>
      <t>Agg</t>
    </r>
    <r>
      <rPr>
        <vertAlign val="subscript"/>
        <sz val="11"/>
        <rFont val="Calibri"/>
        <family val="2"/>
        <scheme val="minor"/>
      </rPr>
      <t>cond,DEP,1</t>
    </r>
  </si>
  <si>
    <r>
      <t>AE</t>
    </r>
    <r>
      <rPr>
        <vertAlign val="subscript"/>
        <sz val="11"/>
        <rFont val="Calibri"/>
        <family val="2"/>
        <scheme val="minor"/>
      </rPr>
      <t>cond,DEP,1</t>
    </r>
  </si>
  <si>
    <t>Indicare lo sviluppo lineare delle condotte di allaccio completamente georeferenziate (solo se corredato da istanza dell'EGA ai sensi del comma 7.3 RQTI)</t>
  </si>
  <si>
    <r>
      <t>Lp</t>
    </r>
    <r>
      <rPr>
        <vertAlign val="subscript"/>
        <sz val="11"/>
        <rFont val="Calibri"/>
        <family val="2"/>
        <scheme val="minor"/>
      </rPr>
      <t xml:space="preserve">d </t>
    </r>
  </si>
  <si>
    <r>
      <t>La</t>
    </r>
    <r>
      <rPr>
        <vertAlign val="subscript"/>
        <sz val="11"/>
        <rFont val="Calibri"/>
        <family val="2"/>
        <scheme val="minor"/>
      </rPr>
      <t>t</t>
    </r>
  </si>
  <si>
    <r>
      <t>Ld</t>
    </r>
    <r>
      <rPr>
        <vertAlign val="subscript"/>
        <sz val="11"/>
        <rFont val="Calibri"/>
        <family val="2"/>
        <scheme val="minor"/>
      </rPr>
      <t>t</t>
    </r>
  </si>
  <si>
    <t>Solo rete principale di adduzione, escluse le derivazioni d’utenza</t>
  </si>
  <si>
    <t>Solo rete principale di distribuzione, escluse le derivazioni d’utenza</t>
  </si>
  <si>
    <r>
      <t>Agg</t>
    </r>
    <r>
      <rPr>
        <vertAlign val="subscript"/>
        <sz val="11"/>
        <rFont val="Calibri"/>
        <family val="2"/>
        <scheme val="minor"/>
      </rPr>
      <t>A1</t>
    </r>
  </si>
  <si>
    <r>
      <t>Agg</t>
    </r>
    <r>
      <rPr>
        <vertAlign val="subscript"/>
        <sz val="11"/>
        <rFont val="Calibri"/>
        <family val="2"/>
        <scheme val="minor"/>
      </rPr>
      <t>A2</t>
    </r>
  </si>
  <si>
    <r>
      <t>Agg</t>
    </r>
    <r>
      <rPr>
        <vertAlign val="subscript"/>
        <sz val="11"/>
        <rFont val="Calibri"/>
        <family val="2"/>
        <scheme val="minor"/>
      </rPr>
      <t>B</t>
    </r>
  </si>
  <si>
    <r>
      <t>Agg</t>
    </r>
    <r>
      <rPr>
        <vertAlign val="subscript"/>
        <sz val="11"/>
        <rFont val="Calibri"/>
        <family val="2"/>
        <scheme val="minor"/>
      </rPr>
      <t>E</t>
    </r>
  </si>
  <si>
    <r>
      <t>Ndep</t>
    </r>
    <r>
      <rPr>
        <vertAlign val="subscript"/>
        <sz val="11"/>
        <rFont val="Calibri"/>
        <family val="2"/>
        <scheme val="minor"/>
      </rPr>
      <t>A1</t>
    </r>
  </si>
  <si>
    <r>
      <t>Ndep</t>
    </r>
    <r>
      <rPr>
        <vertAlign val="subscript"/>
        <sz val="11"/>
        <rFont val="Calibri"/>
        <family val="2"/>
        <scheme val="minor"/>
      </rPr>
      <t>A2</t>
    </r>
  </si>
  <si>
    <r>
      <t>Car</t>
    </r>
    <r>
      <rPr>
        <vertAlign val="subscript"/>
        <sz val="11"/>
        <rFont val="Calibri"/>
        <family val="2"/>
        <scheme val="minor"/>
      </rPr>
      <t>dep4</t>
    </r>
  </si>
  <si>
    <r>
      <t>Car</t>
    </r>
    <r>
      <rPr>
        <vertAlign val="subscript"/>
        <sz val="11"/>
        <rFont val="Calibri"/>
        <family val="2"/>
        <scheme val="minor"/>
      </rPr>
      <t>dep</t>
    </r>
  </si>
  <si>
    <r>
      <t>Car</t>
    </r>
    <r>
      <rPr>
        <vertAlign val="subscript"/>
        <sz val="11"/>
        <rFont val="Calibri"/>
        <family val="2"/>
        <scheme val="minor"/>
      </rPr>
      <t>depA1</t>
    </r>
  </si>
  <si>
    <r>
      <t>Car</t>
    </r>
    <r>
      <rPr>
        <vertAlign val="subscript"/>
        <sz val="11"/>
        <rFont val="Calibri"/>
        <family val="2"/>
        <scheme val="minor"/>
      </rPr>
      <t>depA2</t>
    </r>
  </si>
  <si>
    <r>
      <t>Car</t>
    </r>
    <r>
      <rPr>
        <vertAlign val="subscript"/>
        <sz val="11"/>
        <rFont val="Calibri"/>
        <family val="2"/>
        <scheme val="minor"/>
      </rPr>
      <t>depB</t>
    </r>
  </si>
  <si>
    <r>
      <t>Car</t>
    </r>
    <r>
      <rPr>
        <vertAlign val="subscript"/>
        <sz val="11"/>
        <rFont val="Calibri"/>
        <family val="2"/>
        <scheme val="minor"/>
      </rPr>
      <t>depD</t>
    </r>
  </si>
  <si>
    <r>
      <t>Car</t>
    </r>
    <r>
      <rPr>
        <vertAlign val="subscript"/>
        <sz val="11"/>
        <rFont val="Calibri"/>
        <family val="2"/>
        <scheme val="minor"/>
      </rPr>
      <t>depE</t>
    </r>
  </si>
  <si>
    <r>
      <t>Preq4</t>
    </r>
    <r>
      <rPr>
        <b/>
        <vertAlign val="subscript"/>
        <sz val="11"/>
        <rFont val="Calibri"/>
        <family val="2"/>
      </rPr>
      <t>M0</t>
    </r>
  </si>
  <si>
    <r>
      <t>Ist</t>
    </r>
    <r>
      <rPr>
        <vertAlign val="subscript"/>
        <sz val="11"/>
        <rFont val="Calibri"/>
        <family val="2"/>
        <scheme val="minor"/>
      </rPr>
      <t>D,M0</t>
    </r>
  </si>
  <si>
    <t>Volume di acqua (potabile o non potabile) prelevato da sistemi di acquedotto/captazione gestiti da altre gestioni e immesso nella rete di adduzione e/o di distribuzione</t>
  </si>
  <si>
    <t>Volume di acqua (potabile o non potabile) prelevato dalla rete di adduzione e/o di distribuzione e ceduto a sistemi di acquedotto gestiti da altre gestioni</t>
  </si>
  <si>
    <t>Cons_SII</t>
  </si>
  <si>
    <t>Consumi SII</t>
  </si>
  <si>
    <t>Calcolo dell'indicatore M0a</t>
  </si>
  <si>
    <t>Conc_ter_SII</t>
  </si>
  <si>
    <t>QR3</t>
  </si>
  <si>
    <t>Cons_ap_mis</t>
  </si>
  <si>
    <t>Cons_irr_mis</t>
  </si>
  <si>
    <t xml:space="preserve"> di cui consumi acqua potabile provenienti da fonti misurate</t>
  </si>
  <si>
    <t>Cons_ind_mis</t>
  </si>
  <si>
    <t xml:space="preserve"> di cui consumi indistriali provenienti da fonti misurate</t>
  </si>
  <si>
    <t xml:space="preserve"> di cui consumi irrigui provenienti da fonti misurate</t>
  </si>
  <si>
    <t>Cons_al_mis</t>
  </si>
  <si>
    <t xml:space="preserve"> di cui altri consumi provenienti da fonti misurate</t>
  </si>
  <si>
    <t>Calcolo dell'indicatore M0b - fase sperimentale</t>
  </si>
  <si>
    <t>QR4</t>
  </si>
  <si>
    <t>Cons_irr_crisi</t>
  </si>
  <si>
    <t>Cons_ind_crisi</t>
  </si>
  <si>
    <t>di cui autoapprovvigionamento potabile</t>
  </si>
  <si>
    <t>di cui uso igienico ed usi assimilati</t>
  </si>
  <si>
    <t>di cui uso piscicolo</t>
  </si>
  <si>
    <t>di cui uso zootecnico</t>
  </si>
  <si>
    <t>di cui uso nell’ambito di acquapark o stabilimenti termali e simili</t>
  </si>
  <si>
    <t>Indicare se i consumi irrigui sono ottenuti come media dei prelievi delle 3 annualità più recenti in cui non si sono verificate crisi idriche</t>
  </si>
  <si>
    <t>Indicare se i consumi industriali sono ottenuti come media dei prelievi delle 3 annualità più recenti in cui non si sono verificate crisi idriche</t>
  </si>
  <si>
    <t>di cui acque minerali destinate all’imbottigliamento</t>
  </si>
  <si>
    <t>di cui consumi ulteriori</t>
  </si>
  <si>
    <t>Cons_al_ig</t>
  </si>
  <si>
    <t>Cons_al_z</t>
  </si>
  <si>
    <t>Cons_al_p</t>
  </si>
  <si>
    <t>Cons_al_ap</t>
  </si>
  <si>
    <t>Cons_al_t</t>
  </si>
  <si>
    <t>Cons_al_im</t>
  </si>
  <si>
    <t>Cons_al_ult</t>
  </si>
  <si>
    <t>QR5</t>
  </si>
  <si>
    <t>Bassa</t>
  </si>
  <si>
    <t>Media</t>
  </si>
  <si>
    <t>Alta</t>
  </si>
  <si>
    <t>QR6</t>
  </si>
  <si>
    <t>∑invasi_tot_mis</t>
  </si>
  <si>
    <t xml:space="preserve"> di cui disponibilità da invasi proveniente da fonti misurate</t>
  </si>
  <si>
    <t>∑CIS_tot_mis</t>
  </si>
  <si>
    <t xml:space="preserve"> di cui disponibilità da CIS proveniente da fonti misurate</t>
  </si>
  <si>
    <t>∑riuso_tot_mis</t>
  </si>
  <si>
    <t xml:space="preserve"> di cui disponibilità da riuso proveniente da fonti misurate</t>
  </si>
  <si>
    <r>
      <t>W</t>
    </r>
    <r>
      <rPr>
        <vertAlign val="subscript"/>
        <sz val="11"/>
        <rFont val="Calibri"/>
        <family val="2"/>
        <scheme val="minor"/>
      </rPr>
      <t>max</t>
    </r>
  </si>
  <si>
    <r>
      <t>W</t>
    </r>
    <r>
      <rPr>
        <vertAlign val="subscript"/>
        <sz val="11"/>
        <rFont val="Calibri"/>
        <family val="2"/>
        <scheme val="minor"/>
      </rPr>
      <t>gg</t>
    </r>
  </si>
  <si>
    <t>A parità di perimetro la somma dei dati relativi ad Acquedotto, Fognatura, Depurazione ed Altre Attività Idriche (come definite dal TIUC) deve essere coerente con la corrispondente grandezza richiesta a fini tariffari</t>
  </si>
  <si>
    <t>Da compilare con il valore desumibile dai programmi comunicati in AnTeA. 
Laddove non ancora approvati i nuovi programmi, indicare il valore superiore tra: i) il dato comunicato per nella più recente Raccolta RQTI e ii) il dato desumibile dalla Tab. 1 All. 2 del d.lgs. 18/2023</t>
  </si>
  <si>
    <t>Calcolo dell'obiettivo e degli indicatori secondari</t>
  </si>
  <si>
    <t>Laddove il dettaglio sia disponibile</t>
  </si>
  <si>
    <t>Laddove il dettaglio sia disponibile - Fornire dettagli in relazione in merito alla tipologia di ulteriore tipologia di consumo considerata</t>
  </si>
  <si>
    <t>QR7</t>
  </si>
  <si>
    <t>∑falda_mis</t>
  </si>
  <si>
    <t>Volumi di disponibilità idrica provenienti da falda</t>
  </si>
  <si>
    <t>Volumi di disponibilità idrica provenienti da invasi</t>
  </si>
  <si>
    <t>Volumi di disponibilità idrica provenienti da altri corpi idrici superficiali</t>
  </si>
  <si>
    <t>Volumi di disponibilità idrica provenienti da dissalazione</t>
  </si>
  <si>
    <t>Volumi di disponibilità idrica provenienti da riuso</t>
  </si>
  <si>
    <t>Specificare in relazione se è considerata la capacità autorizzata o la capacità di trattamento massima degli impianti</t>
  </si>
  <si>
    <t>Il valore deve essere almeno pari a quello riportato nella voce "Cons_SII" (riga 24)</t>
  </si>
  <si>
    <t>Voce spostata nel foglio QT-Depurazione</t>
  </si>
  <si>
    <t>Monitoraggio RQTI per applicazione meccanismo incentivante per il biennio 2024-2025</t>
  </si>
  <si>
    <r>
      <t>Indicare la presenza o meno del prerequisito Preq4 (Art.23 RQTI)</t>
    </r>
    <r>
      <rPr>
        <strike/>
        <sz val="10"/>
        <rFont val="Calibri"/>
        <family val="2"/>
        <scheme val="minor"/>
      </rPr>
      <t xml:space="preserve"> </t>
    </r>
  </si>
  <si>
    <t xml:space="preserve">Istanza ex-post ai sensi del comma 5.4, del. 917/2017. Specificare motivazioni in relazione </t>
  </si>
  <si>
    <t>Si intendono le sole utenze contrattualizzate</t>
  </si>
  <si>
    <t>Istanza ex-post ai sensi del comma 5.4, del. 917/2017. Specificare motivazioni in relazione</t>
  </si>
  <si>
    <t xml:space="preserve">Istanza ex-post ai sensi del comma 5.4, del. 917/2017. Specificare motivazioni in relazione. </t>
  </si>
  <si>
    <t>Vedere RQTI, Art.22</t>
  </si>
  <si>
    <t>Indicare la presenza o meno del prerequisito Preq4 (Art.23 RQTI)</t>
  </si>
  <si>
    <t xml:space="preserve">Vedere RQTI, Art.22 </t>
  </si>
  <si>
    <t>Il gestore gestisce il servizio di fognatura?</t>
  </si>
  <si>
    <t>Il gestore gestisce il servizio di acquedotto?</t>
  </si>
  <si>
    <t xml:space="preserve">Istanza ex-post ai sensi del comma 5.4, del. 917/2017 </t>
  </si>
  <si>
    <t>Qualora il dato riportato in automatico non corrisponda al dato reale, motivare in relazione</t>
  </si>
  <si>
    <t xml:space="preserve">Vedere RQTI al comma 5-quater.5 lett. a) </t>
  </si>
  <si>
    <t xml:space="preserve">Vedere RQTI al comma 5-quater.5 lett. a) - Specificare dettagli in relazione </t>
  </si>
  <si>
    <t xml:space="preserve">Vedere RQTI al comma 5-quater.5 lett. b.1) </t>
  </si>
  <si>
    <t xml:space="preserve">Vedere RQTI al comma 5-quater.5 lett. b.2) </t>
  </si>
  <si>
    <t>Vedere RQTI alla Tav. 1.ter</t>
  </si>
  <si>
    <t>Volumi di disponibilità idrica provenienti da falda ricavabili da misurazioni effettive</t>
  </si>
  <si>
    <t xml:space="preserve">Vedere RQTI al comma 5-quater.5 lett. d.5) </t>
  </si>
  <si>
    <t>Vedere RQTI alla Tav. 1.ter - Specificare in Relazione le annualità di crisi idrica</t>
  </si>
  <si>
    <t>Sempre con riferimento al territorio considerato, in quali altre annualità è stata dichiarata crisi idrica? (a partire dal 2018 incluso) - specificare</t>
  </si>
  <si>
    <t>Per l'annualità in considerazione è stata dichiarata crisi idrica con riferimento al territorio considerato?</t>
  </si>
  <si>
    <t>Indicare la condizione di criticità del territorio (alta, media, bassa)</t>
  </si>
  <si>
    <t>QR8</t>
  </si>
  <si>
    <t>Motivare in relazione secondo quanto previsto dal comma 5-quater.5 lett. d.5) della RQTI</t>
  </si>
  <si>
    <t>Calcolo euristico di cui alla Tavola 1.ter</t>
  </si>
  <si>
    <t>Specificare in relazione le metodologie adottate, con particolare riferimento alla ricostruzione tridimensionale dei volumi di falda, sulla base delle caratteristiche geologiche, idrogeologiche e geomorfologiche del sottosuolo</t>
  </si>
  <si>
    <t>L'Autorità di Bacino Distrettuale competente ha provveduto alla definizione della dimensione territoriale di riferimento per la determinazione di M0b per l'anno in considerazione?</t>
  </si>
  <si>
    <t>Indicare "NO" se non si intende utilizzare - neanche parzialmente - la modalità di stima euristica di cui alla Tavola 1.ter (viceversa non compilare)</t>
  </si>
  <si>
    <t>∑falda_calc</t>
  </si>
  <si>
    <r>
      <t>∑U</t>
    </r>
    <r>
      <rPr>
        <vertAlign val="subscript"/>
        <sz val="11"/>
        <color theme="1"/>
        <rFont val="Calibri"/>
        <family val="2"/>
        <scheme val="minor"/>
      </rPr>
      <t>I</t>
    </r>
    <r>
      <rPr>
        <sz val="11"/>
        <color theme="1"/>
        <rFont val="Calibri"/>
        <family val="2"/>
        <scheme val="minor"/>
      </rPr>
      <t xml:space="preserve"> </t>
    </r>
  </si>
  <si>
    <t>Raggiungimento obiettivo</t>
  </si>
  <si>
    <t>all'interno del perimetro del gestore del SII</t>
  </si>
  <si>
    <t>ACQUE DEL CHIAMPO S.P.A. SOCIETA' BENEFIT</t>
  </si>
  <si>
    <t>SERVIZI INTEGRATI BELLUNESI SPA</t>
  </si>
  <si>
    <t>Comune di Predazzo</t>
  </si>
  <si>
    <t>COMUNE DI CORTENO GOLGI</t>
  </si>
  <si>
    <t>AZIENDA SPECIALE TOANO</t>
  </si>
  <si>
    <t>SOGEA Srl</t>
  </si>
  <si>
    <t>COMUNE DI CALASCIO</t>
  </si>
  <si>
    <t>Comune di Sanza</t>
  </si>
  <si>
    <t>Comune di Badia</t>
  </si>
  <si>
    <t>comune di Châtillon</t>
  </si>
  <si>
    <t>Comune di Marano di Napoli</t>
  </si>
  <si>
    <t>Comune di Gualtieri Sicaminò</t>
  </si>
  <si>
    <t>Comune di Bova Marina</t>
  </si>
  <si>
    <t>Comune di Cerreto Sannita</t>
  </si>
  <si>
    <t>comune di santa maria la fossa</t>
  </si>
  <si>
    <t>COMUNE DI CARREGA LIGURE</t>
  </si>
  <si>
    <t>COMUNE DI ORTA DI ATELLA</t>
  </si>
  <si>
    <t>SERVICES DES EAUXS VALDÔTAINES S.R.L.</t>
  </si>
  <si>
    <t>Comune di Taurano</t>
  </si>
  <si>
    <t>Valli Varanensi s.r.l.</t>
  </si>
  <si>
    <t>COMUNE DI FRAGNETO L'ABATE</t>
  </si>
  <si>
    <t>IREN ACQUA PIACENZA S.R.L.</t>
  </si>
  <si>
    <t>RQTI 2026 - Raccolta dati di consuntivo di qualità tecnica - Anno 2025</t>
  </si>
  <si>
    <t>Qualità Tecnica: Acquedotto (dati 2025)</t>
  </si>
  <si>
    <t>Qualità Tecnica: Fognatura (dati 2025)</t>
  </si>
  <si>
    <t>Qualità Tecnica: Depurazione (dati 2025)</t>
  </si>
  <si>
    <t>Altri dati per monitoraggio RQTI (dati 2025)</t>
  </si>
  <si>
    <t>Qualità Tecnica: QT-Resilienza (dati 2025)</t>
  </si>
  <si>
    <t xml:space="preserve">Riepilogo RQTI: valutazione performance anni 2024-2025 </t>
  </si>
  <si>
    <t>Valore Anno 2025</t>
  </si>
  <si>
    <t>Errore rilevato in colonna "Valore Anno 2025"</t>
  </si>
  <si>
    <t>Errori compilazione colonna "Valore Anno 2025"</t>
  </si>
  <si>
    <t>Riepilogo RQTI: valutazione performance biennio 2024-2025</t>
  </si>
  <si>
    <t>G0.0a</t>
  </si>
  <si>
    <t>Impatto della ricarica rispetto ai consumi del territorio</t>
  </si>
  <si>
    <t>Trend temporale della ricarica</t>
  </si>
  <si>
    <t>G0.0b</t>
  </si>
  <si>
    <t>Vedere RQTI al comma 5-bis.6 punto 1.a)</t>
  </si>
  <si>
    <t xml:space="preserve"> Valore riferito all'area territoriale individuata per l’indicatore M0b</t>
  </si>
  <si>
    <t>Vedere RQTI al comma 5-bis.6 punto 1.b)</t>
  </si>
  <si>
    <t>Vedere RQTI al comma 5-bis.6 punto 2.a)
(è possibile che il dato sia superiore a 100%)</t>
  </si>
  <si>
    <t>Vedere RQTI al comma 5-bis.6 punto 2.b)</t>
  </si>
  <si>
    <t xml:space="preserve">Istanza ai sensi del comma 7.3 della RQTI, ammissibile solo se verificate tutte le condizioni richieste.  </t>
  </si>
  <si>
    <t>Ist_M1geo</t>
  </si>
  <si>
    <t>di cui mono-incenerito in impianti dedicati del medesimo soggetto</t>
  </si>
  <si>
    <t>di cui 10.000 &lt;= A.E. &lt; 50.000</t>
  </si>
  <si>
    <r>
      <t>Agg</t>
    </r>
    <r>
      <rPr>
        <vertAlign val="subscript"/>
        <sz val="11"/>
        <color theme="3"/>
        <rFont val="Calibri"/>
        <family val="2"/>
        <scheme val="minor"/>
      </rPr>
      <t>C1</t>
    </r>
  </si>
  <si>
    <t>di cui 50.000 &lt;= A.E. &lt; 100.000</t>
  </si>
  <si>
    <r>
      <t>Agg</t>
    </r>
    <r>
      <rPr>
        <vertAlign val="subscript"/>
        <sz val="11"/>
        <color theme="3"/>
        <rFont val="Calibri"/>
        <family val="2"/>
        <scheme val="minor"/>
      </rPr>
      <t>C2</t>
    </r>
  </si>
  <si>
    <r>
      <t>Ndep</t>
    </r>
    <r>
      <rPr>
        <vertAlign val="subscript"/>
        <sz val="11"/>
        <color theme="3"/>
        <rFont val="Calibri"/>
        <family val="2"/>
        <scheme val="minor"/>
      </rPr>
      <t>C1</t>
    </r>
  </si>
  <si>
    <t>di cui con potenzialità 10.000 &lt;= A.E. &lt; 50.000</t>
  </si>
  <si>
    <r>
      <t>Ndep</t>
    </r>
    <r>
      <rPr>
        <vertAlign val="subscript"/>
        <sz val="11"/>
        <color theme="3"/>
        <rFont val="Calibri"/>
        <family val="2"/>
        <scheme val="minor"/>
      </rPr>
      <t>C2</t>
    </r>
  </si>
  <si>
    <t>di cui con potenzialità 50.000 &lt;= A.E. &lt; 100.000</t>
  </si>
  <si>
    <r>
      <t>Car</t>
    </r>
    <r>
      <rPr>
        <vertAlign val="subscript"/>
        <sz val="11"/>
        <color theme="3"/>
        <rFont val="Calibri"/>
        <family val="2"/>
        <scheme val="minor"/>
      </rPr>
      <t>depC1</t>
    </r>
  </si>
  <si>
    <r>
      <t>Car</t>
    </r>
    <r>
      <rPr>
        <vertAlign val="subscript"/>
        <sz val="11"/>
        <color theme="3"/>
        <rFont val="Calibri"/>
        <family val="2"/>
        <scheme val="minor"/>
      </rPr>
      <t>depC2</t>
    </r>
  </si>
  <si>
    <t>10.000 &lt;= A.E. &lt; 50.000</t>
  </si>
  <si>
    <t>50.000 &lt;= A.E. &lt; 100.000</t>
  </si>
  <si>
    <t>Numero di depuratori per tipologia di trattamento e potenzialità di trattamento (anno 2025)</t>
  </si>
  <si>
    <t>Carico inquinante collettato (A.E.) per tipologia di trattamento e potenzialità di trattamento (anno 2025)</t>
  </si>
  <si>
    <r>
      <t>In caso di gestione completamente integrata, questo valore coincide con il carico generato Car</t>
    </r>
    <r>
      <rPr>
        <vertAlign val="subscript"/>
        <sz val="10"/>
        <color theme="3"/>
        <rFont val="Calibri"/>
        <family val="2"/>
        <scheme val="minor"/>
      </rPr>
      <t>gen</t>
    </r>
    <r>
      <rPr>
        <sz val="10"/>
        <color theme="3"/>
        <rFont val="Calibri"/>
        <family val="2"/>
        <scheme val="minor"/>
      </rPr>
      <t xml:space="preserve"> di cui alla riga 112</t>
    </r>
  </si>
  <si>
    <r>
      <t xml:space="preserve">Ai sensi del comma 19.3 </t>
    </r>
    <r>
      <rPr>
        <sz val="10"/>
        <color theme="3"/>
        <rFont val="Calibri"/>
        <family val="2"/>
        <scheme val="minor"/>
      </rPr>
      <t>e del comma 19.10</t>
    </r>
  </si>
  <si>
    <t>Indicare se è stata formulata istanza ai sensi del comma 7.3 della RQTI</t>
  </si>
  <si>
    <r>
      <t>∑C</t>
    </r>
    <r>
      <rPr>
        <vertAlign val="subscript"/>
        <sz val="11"/>
        <color theme="3"/>
        <rFont val="Calibri"/>
        <family val="2"/>
        <scheme val="minor"/>
      </rPr>
      <t>imp,DEP-virt</t>
    </r>
  </si>
  <si>
    <t xml:space="preserve">Vedere RQTI, comma 19.10 </t>
  </si>
  <si>
    <t>WEI+(a-1)</t>
  </si>
  <si>
    <t>WEI+(a)</t>
  </si>
  <si>
    <t>WEI+(a-2)</t>
  </si>
  <si>
    <t>WEI+(a-3)</t>
  </si>
  <si>
    <t>WEI+ anno (a-1)</t>
  </si>
  <si>
    <t>WEI+ anno (a-2)</t>
  </si>
  <si>
    <t>WEI+ anno (a-3)</t>
  </si>
  <si>
    <t>WEI+ anno (a)</t>
  </si>
  <si>
    <t>Internal_flow anno (a)</t>
  </si>
  <si>
    <t>Internal_flow anno (a-1)</t>
  </si>
  <si>
    <t>Internal_flow anno (a-2)</t>
  </si>
  <si>
    <t>Internal_flow anno (a-3)</t>
  </si>
  <si>
    <t>Internal_flow anno (a-4)</t>
  </si>
  <si>
    <t>Internal_flow anno (a-5)</t>
  </si>
  <si>
    <t>Internal_flow anno (a-6)</t>
  </si>
  <si>
    <t>Internal_flow anno (a-7)</t>
  </si>
  <si>
    <t>IF(a-7)</t>
  </si>
  <si>
    <t>IF(a-6)</t>
  </si>
  <si>
    <t>IF(a-5)</t>
  </si>
  <si>
    <t>IF(a-4)</t>
  </si>
  <si>
    <t>IF(a-3)</t>
  </si>
  <si>
    <t>IF(a-2)</t>
  </si>
  <si>
    <t>IF(a-1)</t>
  </si>
  <si>
    <t>IF(a)</t>
  </si>
  <si>
    <t xml:space="preserve">data di chiusura della Raccolta dati RQTI_2026 </t>
  </si>
  <si>
    <r>
      <t xml:space="preserve">ai sensi del comma 1.2 della deliberazione 581/2025/R/idr - </t>
    </r>
    <r>
      <rPr>
        <u/>
        <sz val="11"/>
        <rFont val="Calibri"/>
        <family val="2"/>
        <scheme val="minor"/>
      </rPr>
      <t>NON cancellare né sovrascrivere</t>
    </r>
  </si>
  <si>
    <t>Valutazione prerequisiti e indicazione istanze presentate per M1</t>
  </si>
  <si>
    <t>Valutazione prerequisiti e indicazione istanze presentate per M4</t>
  </si>
  <si>
    <t>Valutazione prerequisiti e indicazione istanze presentate per M5</t>
  </si>
  <si>
    <t>Valutazione prerequisiti e indicazione istanze presentate per M6</t>
  </si>
  <si>
    <t>Incidenza_der</t>
  </si>
  <si>
    <t>di cui con potenzialità 100.000 &lt;= A.E. &lt;500.000</t>
  </si>
  <si>
    <t>di cui con potenzialità A.E. &gt;= 500.000</t>
  </si>
  <si>
    <t>Vedere RQTI al comma 7.2, come modificato dall'art. 10 della delibera 639/2021/R/idr e comma 7.3</t>
  </si>
  <si>
    <t>Valutazione prerequisiti e indicazione istanze presentate per M3</t>
  </si>
  <si>
    <t>(o eventuali limiti più restrittivi)</t>
  </si>
  <si>
    <t xml:space="preserve">di cui tenuti al rispetto della Tabella 1 dell'Allegato 5 alla Parte Terza del D.Lgs 152/2006 </t>
  </si>
  <si>
    <r>
      <rPr>
        <sz val="10"/>
        <color theme="3"/>
        <rFont val="Calibri"/>
        <family val="2"/>
        <scheme val="minor"/>
      </rPr>
      <t>(o eventuali limiti più restrittivi).</t>
    </r>
    <r>
      <rPr>
        <sz val="10"/>
        <rFont val="Calibri"/>
        <family val="2"/>
        <scheme val="minor"/>
      </rPr>
      <t xml:space="preserve"> Si intendono gli impianti di acque reflue urbane recapitanti in aree sensibili o in bacini drenanti nelle aree sensibili, provenienti da agglomerati con carico generato di almeno 10.000 A.E.</t>
    </r>
  </si>
  <si>
    <t>di cui tenuti al rispetto della Tabella 2 dell'Allegato 5 alla Parte Terza del D.Lgs 152/2006 (aree sensibili)</t>
  </si>
  <si>
    <t xml:space="preserve">di cui tenuti al rispetto della Tabella 4 dell'Allegato 5 alla Parte Terza del D.Lgs 152/2006 (scarico su suolo) </t>
  </si>
  <si>
    <r>
      <rPr>
        <sz val="10"/>
        <color theme="3"/>
        <rFont val="Calibri"/>
        <family val="2"/>
        <scheme val="minor"/>
      </rPr>
      <t>(o eventuali limiti più restrittivi).</t>
    </r>
    <r>
      <rPr>
        <sz val="10"/>
        <rFont val="Calibri"/>
        <family val="2"/>
        <scheme val="minor"/>
      </rPr>
      <t xml:space="preserve"> Specificare in relazione per quali dei 5 parametri: SST, BOD5, COD, Ntot e Ptot</t>
    </r>
  </si>
  <si>
    <r>
      <t>di cui tenuti al rispetto della Tabella 3 dell'Allegato 5 alla Parte Terza del D.Lgs 152/2006 (reflui industriali)</t>
    </r>
    <r>
      <rPr>
        <i/>
        <sz val="11"/>
        <color theme="3"/>
        <rFont val="Calibri"/>
        <family val="2"/>
        <scheme val="minor"/>
      </rPr>
      <t xml:space="preserve"> </t>
    </r>
  </si>
  <si>
    <t xml:space="preserve">di cui già tenuti per legge al rispetto della Tabella 3 (reflui industriali) per le forme azotate e/o Ptot </t>
  </si>
  <si>
    <r>
      <t>∑C</t>
    </r>
    <r>
      <rPr>
        <vertAlign val="subscript"/>
        <sz val="11"/>
        <color theme="3"/>
        <rFont val="Calibri"/>
        <family val="2"/>
        <scheme val="minor"/>
      </rPr>
      <t>imp,DEP-AC</t>
    </r>
  </si>
  <si>
    <t>di cui eseguiti dalle Autorità di controllo ambientale caratterizzati da superamento dei limiti</t>
  </si>
  <si>
    <t>di cui campioni virtuali (caratterizzari da superamento dei limiti) per il mantenimento della frequenza di campionamento in periodi di deroga</t>
  </si>
  <si>
    <t xml:space="preserve">di cui con superamento di almeno un limite solo della Tabella 1 </t>
  </si>
  <si>
    <t>di cui con superamento di almeno un limite solo della Tabella 2</t>
  </si>
  <si>
    <r>
      <t xml:space="preserve">Conteggiare tutti gli eventuali superamenti puntuali dei limiti previsti dalla tabella 2 per i parametri Ntot e/o Ptot </t>
    </r>
    <r>
      <rPr>
        <sz val="10"/>
        <color theme="3"/>
        <rFont val="Calibri"/>
        <family val="2"/>
        <scheme val="minor"/>
      </rPr>
      <t>(o eventuali limiti più restrittivi)</t>
    </r>
    <r>
      <rPr>
        <sz val="10"/>
        <rFont val="Calibri"/>
        <family val="2"/>
        <scheme val="minor"/>
      </rPr>
      <t>. Per gli impianti tra 2.000 e 10.000 AE recapitanti in aree sensibili considerare i limiti 15 e 2 mg/L rispettivamente. NB: non è la media annua</t>
    </r>
  </si>
  <si>
    <t>di cui con superamento di almeno un limite in entrambe le Tabelle 1 e 2</t>
  </si>
  <si>
    <r>
      <t>di cui con superamento di almeno un limite della Tabella 4</t>
    </r>
    <r>
      <rPr>
        <i/>
        <sz val="11"/>
        <color theme="3"/>
        <rFont val="Calibri"/>
        <family val="2"/>
        <scheme val="minor"/>
      </rPr>
      <t xml:space="preserve"> </t>
    </r>
  </si>
  <si>
    <t xml:space="preserve">di cui con superamento di almeno un limite in entrambe le Tabelle 1 e 3 </t>
  </si>
  <si>
    <t>di cui con superamento di almeno un limite in entrambe le Tabelle 2 e 3</t>
  </si>
  <si>
    <r>
      <t>di cui con superamento di almeno un limite solo della Tabella 3</t>
    </r>
    <r>
      <rPr>
        <i/>
        <sz val="11"/>
        <color theme="3"/>
        <rFont val="Calibri"/>
        <family val="2"/>
        <scheme val="minor"/>
      </rPr>
      <t xml:space="preserve"> </t>
    </r>
  </si>
  <si>
    <r>
      <t>Der</t>
    </r>
    <r>
      <rPr>
        <vertAlign val="subscript"/>
        <sz val="11"/>
        <color theme="3"/>
        <rFont val="Calibri"/>
        <family val="2"/>
        <scheme val="minor"/>
      </rPr>
      <t>M6</t>
    </r>
  </si>
  <si>
    <r>
      <t>N*</t>
    </r>
    <r>
      <rPr>
        <vertAlign val="subscript"/>
        <sz val="11"/>
        <color theme="3"/>
        <rFont val="Calibri"/>
        <family val="2"/>
        <scheme val="minor"/>
      </rPr>
      <t>der</t>
    </r>
  </si>
  <si>
    <r>
      <t>Car</t>
    </r>
    <r>
      <rPr>
        <vertAlign val="subscript"/>
        <sz val="11"/>
        <color theme="3"/>
        <rFont val="Calibri"/>
        <family val="2"/>
        <scheme val="minor"/>
      </rPr>
      <t>dep,der</t>
    </r>
  </si>
  <si>
    <t>Numero agglomerati oggetto di condanna per il servizio di depurazione (causa C-565/10, C-85/13, C-668/19 e successive) al termine dell'anno (a)</t>
  </si>
  <si>
    <t>Abitanti Equivalenti complessivi degli agglomerati oggetto di condanna per il servizio di depurazione (causa C-565/10, C-85/13, C-668/19 e successive) al termine dell'anno (a)</t>
  </si>
  <si>
    <t>Numero impianti autorizzati allo scarico in deroga, anche per periodi limitati, nell'anno (a)</t>
  </si>
  <si>
    <t>Indicare se uno o più impianti di depurazione soggetti a M6 è stato autorizzato a derogare ai limiti allo scarico nel corso dell'anno (a)</t>
  </si>
  <si>
    <t>Totale carico inquinante collettato in rete fognaria e depurato negli impianti di depurazione inclusi in N*der</t>
  </si>
  <si>
    <r>
      <t>Ndep</t>
    </r>
    <r>
      <rPr>
        <vertAlign val="subscript"/>
        <sz val="11"/>
        <rFont val="Calibri"/>
        <family val="2"/>
        <scheme val="minor"/>
      </rPr>
      <t>E</t>
    </r>
  </si>
  <si>
    <r>
      <t>Ndep</t>
    </r>
    <r>
      <rPr>
        <vertAlign val="subscript"/>
        <sz val="11"/>
        <color theme="3"/>
        <rFont val="Calibri"/>
        <family val="2"/>
        <scheme val="minor"/>
      </rPr>
      <t>D</t>
    </r>
  </si>
  <si>
    <t>di cui 100.000 &lt;= A.E. &lt; 500.000</t>
  </si>
  <si>
    <r>
      <t>Agg</t>
    </r>
    <r>
      <rPr>
        <vertAlign val="subscript"/>
        <sz val="11"/>
        <color theme="3"/>
        <rFont val="Calibri"/>
        <family val="2"/>
        <scheme val="minor"/>
      </rPr>
      <t>D</t>
    </r>
  </si>
  <si>
    <t>di cui A.E. &gt;= 500.000</t>
  </si>
  <si>
    <t>Valutazione prerequisiti e indicazione istanze presentate per M0</t>
  </si>
  <si>
    <t>di cui da valutare con riferimento alla Tabella 3 dell'Allegato 5 alla Parte Terza del D.Lgs 152/2006 (per forme azotate e Ptot) per meccanismo incentivante RQTI</t>
  </si>
  <si>
    <r>
      <rPr>
        <sz val="10"/>
        <color theme="3"/>
        <rFont val="Calibri"/>
        <family val="2"/>
        <scheme val="minor"/>
      </rPr>
      <t>(o eventuali limiti più restrittivi).</t>
    </r>
    <r>
      <rPr>
        <sz val="10"/>
        <rFont val="Calibri"/>
        <family val="2"/>
        <scheme val="minor"/>
      </rPr>
      <t xml:space="preserve"> Ai sensi della delibera 637/2023/R/idr al comma 19.3 lettera a). Si intendono gli impianti di acque reflue urbane recapitanti in aree non sensibili (include sia gli impianti già tenuti per legge sia quelli aggiunti ai fini dell'applicazione delle premialità RQTI)</t>
    </r>
  </si>
  <si>
    <t>di cui campioni virtuali (caratterizzati da superamento dei limiti) per il mantenimento della frequenza di campionamento in periodi di deroga</t>
  </si>
  <si>
    <r>
      <t>inclusi in ∑C</t>
    </r>
    <r>
      <rPr>
        <vertAlign val="subscript"/>
        <sz val="10"/>
        <color theme="3"/>
        <rFont val="Calibri"/>
        <family val="2"/>
        <scheme val="minor"/>
      </rPr>
      <t>imp,DEP-cnc</t>
    </r>
    <r>
      <rPr>
        <sz val="10"/>
        <color theme="3"/>
        <rFont val="Calibri"/>
        <family val="2"/>
        <scheme val="minor"/>
      </rPr>
      <t xml:space="preserve"> ai sensi del co. 19.10 della RQTI</t>
    </r>
  </si>
  <si>
    <r>
      <t xml:space="preserve">Vedere RQTI al comma 19.6 
</t>
    </r>
    <r>
      <rPr>
        <sz val="10"/>
        <color theme="3"/>
        <rFont val="Calibri"/>
        <family val="2"/>
        <scheme val="minor"/>
      </rPr>
      <t>I campioni eseguiti non includono quelli virtuali e quelli effettuati dalle Autorità di controllo ambientale</t>
    </r>
  </si>
  <si>
    <t xml:space="preserve">Durata totale dei periodi di deroga per gli impianti di depurazione inclusi in N*der </t>
  </si>
  <si>
    <r>
      <t>Car</t>
    </r>
    <r>
      <rPr>
        <vertAlign val="subscript"/>
        <sz val="11"/>
        <color theme="3"/>
        <rFont val="Calibri"/>
        <family val="2"/>
        <scheme val="minor"/>
      </rPr>
      <t>dep,der</t>
    </r>
    <r>
      <rPr>
        <sz val="11"/>
        <color theme="3"/>
        <rFont val="Calibri"/>
        <family val="2"/>
        <scheme val="minor"/>
      </rPr>
      <t>_</t>
    </r>
    <r>
      <rPr>
        <vertAlign val="subscript"/>
        <sz val="11"/>
        <color theme="3"/>
        <rFont val="Calibri"/>
        <family val="2"/>
        <scheme val="minor"/>
      </rPr>
      <t>norm</t>
    </r>
  </si>
  <si>
    <t>Nel caso di impianti che presentano più di un periodo di deroga nell'anno (a), sommare i giorni relativi</t>
  </si>
  <si>
    <t>Sommatoria del prodotto dei carichi depurati in ciascun impianto oggetto di deroga per la durata delle medesime deroghe</t>
  </si>
  <si>
    <t>Nel caso di impianti che presentano più di un periodo di deroga nell'anno (a), conteggiare il carico trattato nei medesimi impianti una sola volta</t>
  </si>
  <si>
    <r>
      <t>t</t>
    </r>
    <r>
      <rPr>
        <vertAlign val="subscript"/>
        <sz val="11"/>
        <color theme="3"/>
        <rFont val="Calibri"/>
        <family val="2"/>
        <scheme val="minor"/>
      </rPr>
      <t>der</t>
    </r>
  </si>
  <si>
    <t>Incidenza rispetto al totale dei carichi collettati e depurati dal gestore nell'anno</t>
  </si>
  <si>
    <t>Indicare se il territorio considerato è inferiore a quello regionale</t>
  </si>
  <si>
    <r>
      <rPr>
        <sz val="10"/>
        <color theme="4" tint="-0.249977111117893"/>
        <rFont val="Calibri"/>
        <family val="2"/>
        <scheme val="minor"/>
      </rPr>
      <t xml:space="preserve">Considerare la Tabella 1 o eventuali limiti più restrittivi. 
</t>
    </r>
    <r>
      <rPr>
        <sz val="10"/>
        <rFont val="Calibri"/>
        <family val="2"/>
        <scheme val="minor"/>
      </rPr>
      <t xml:space="preserve">Conteggiare tutti gli eventuali superamenti, inclusi quelli ammessi ai sensi dell'Allegato 5 alla Parte III del d.lgs. 152/2006. </t>
    </r>
  </si>
  <si>
    <r>
      <rPr>
        <sz val="10"/>
        <color theme="3"/>
        <rFont val="Calibri"/>
        <family val="2"/>
        <scheme val="minor"/>
      </rPr>
      <t>Considerare le Tabelle 1 e 2 o eventuali limiti più restrittivi.</t>
    </r>
    <r>
      <rPr>
        <sz val="10"/>
        <rFont val="Calibri"/>
        <family val="2"/>
        <scheme val="minor"/>
      </rPr>
      <t xml:space="preserve"> 
Conteggiare tutti gli eventuali superamenti, inclusi quelli ammessi dall'Allegato 5 alla Parte III del d.lgs. 152/2006 e tutti i superamenti puntuali dei limiti previsti dalla tabella 2 per i parametri Ntot e/o Ptot. Per gli impianti tra 2.000 e 10.000 AE recapitanti in aree sensibili considerare i limiti 15 e 2 mg/L rispettivamente </t>
    </r>
  </si>
  <si>
    <t>Considerare la Tabella 4 o eventuali limiti più restrittivi.</t>
  </si>
  <si>
    <r>
      <rPr>
        <sz val="10"/>
        <color theme="3"/>
        <rFont val="Calibri"/>
        <family val="2"/>
        <scheme val="minor"/>
      </rPr>
      <t>Considerare le Tabelle 1 e 3 o eventuali limiti più restrittivi.</t>
    </r>
    <r>
      <rPr>
        <sz val="10"/>
        <rFont val="Calibri"/>
        <family val="2"/>
        <scheme val="minor"/>
      </rPr>
      <t xml:space="preserve"> 
Per i parametri forme azotate e/o Ptot, considerare i limiti di cui alla Tabella 3-quarta colonna dall'Allegato 5 alla Parte III del d.lgs. 152/2006</t>
    </r>
  </si>
  <si>
    <r>
      <rPr>
        <sz val="10"/>
        <color theme="3"/>
        <rFont val="Calibri"/>
        <family val="2"/>
        <scheme val="minor"/>
      </rPr>
      <t>Considerare le Tabelle 2 e 3 o eventuali limiti più restrittivi.</t>
    </r>
    <r>
      <rPr>
        <sz val="10"/>
        <rFont val="Calibri"/>
        <family val="2"/>
        <scheme val="minor"/>
      </rPr>
      <t xml:space="preserve"> 
Per i parametri Ntot e/o Ptot considerare i limiti di tabella 2. Per gli impianti tra 2.000 e 10.000 AE recapitanti in aree sensibili considerare i limiti 15 e 2 mg/L rispettivamente</t>
    </r>
  </si>
  <si>
    <r>
      <rPr>
        <sz val="10"/>
        <color theme="3"/>
        <rFont val="Calibri"/>
        <family val="2"/>
        <scheme val="minor"/>
      </rPr>
      <t>Considerare la Tabella 3 o eventuali limiti più restrittivi.</t>
    </r>
    <r>
      <rPr>
        <sz val="10"/>
        <rFont val="Calibri"/>
        <family val="2"/>
        <scheme val="minor"/>
      </rPr>
      <t xml:space="preserve"> 
Per i parametri forme azotate e/o Ptot, considerare i limiti di cui alla Tabella 3-quarta colonna dall'Allegato 5 alla Parte III del d.lgs. 152/2006</t>
    </r>
    <r>
      <rPr>
        <sz val="10"/>
        <color theme="3"/>
        <rFont val="Calibri"/>
        <family val="2"/>
        <scheme val="minor"/>
      </rPr>
      <t xml:space="preserve"> </t>
    </r>
  </si>
  <si>
    <t>Nel caso di impianti che presentano più di un periodo di deroga nell'anno (a), conteggiare i medesimi impianti una sola volta.
Non conteggiare gli impianti eventualmente soggetti a deroghe, per il solo periodo irriguo, e al solo fine di praticare il riutilizzo dei reflui depurati a fini agricoli</t>
  </si>
  <si>
    <t xml:space="preserve"> Sommatoria del prodotto dei carichi depurati in ciascuno degli impianti inclusi in N*der per i rispettivi giorni di deroga, normalizzata dividendo per 365: ∑(Cardep,der,i*tder,i)/365, con i corrispondente all'i-esimo impianto in deroga</t>
  </si>
  <si>
    <t>si tratta dei campioni in cui, per i parametri citati, è stato superato il limite di legge, ma non quello posto dalla deroga, nei soli casi di effettivo riutilizzo a fini irrigui. Viceversa, laddove risultasse superato anche il limite innalzato dalla deroga, il campione andrebbe conteggiato in ∑Cimp,DEP-cnc</t>
  </si>
  <si>
    <r>
      <t xml:space="preserve">Si considerano solo gli impianti di potenzialità ≥ 2.000 A.E. (o 10.000 A.E. se recapitanti in acque costiere)
</t>
    </r>
    <r>
      <rPr>
        <sz val="10"/>
        <color theme="3"/>
        <rFont val="Calibri"/>
        <family val="2"/>
        <scheme val="minor"/>
      </rPr>
      <t>In caso di campioni virtuali si considera 1 solo parametro per ogni campione, mentre per i campioni effettuati dalle Autorità di controllo ambientale si conteggiano i soli parametri con superamento dei limiti.</t>
    </r>
  </si>
  <si>
    <r>
      <t xml:space="preserve">Si considerano solo gli impianti di potenzialità ≥ 2.000 A.E. (o 10.000 A.E. se recapitanti in acque costiere)
</t>
    </r>
    <r>
      <rPr>
        <sz val="10"/>
        <color theme="3"/>
        <rFont val="Calibri"/>
        <family val="2"/>
        <scheme val="minor"/>
      </rPr>
      <t>In caso di campioni virtuali si considera 1 solo parametro per ogni campione, mentre per i campioni effettuati dalle Autorità di controllo ambientale si conteggiano tutti e soli i parametri con superamento dei limiti.</t>
    </r>
  </si>
  <si>
    <t>Numero di campioni eseguiti sulle acque reflue scaricate dagli impianti di depurazione con riferimento ai parametri di cui al co. 19.3, lett. a)</t>
  </si>
  <si>
    <t xml:space="preserve">Numero di campioni eseguiti sulle acque reflue scaricate dagli impianti di depurazione con superamento di almeno un limite per i parametri di cui alle Tabelle 1 o 2 o 3 (forme azotate) </t>
  </si>
  <si>
    <t>Numero di campioni eseguiti sulle acque reflue scaricate dagli impianti di depurazione con analisi anche degli ulteriori parametri di Tabella 3, in aggiunta a quelli precedentemente considerati</t>
  </si>
  <si>
    <t>Numero di campioni eseguiti sulle acque reflue scaricate dagli impianti di depurazione con superamento di almeno un limite dei parametri di cui alle Tabelle 1, 2 e 3 ai sensi del co. 19.3 e del co. 19.6 RQTI</t>
  </si>
  <si>
    <r>
      <t xml:space="preserve">Numero parametri analizzati nei campioni eseguiti </t>
    </r>
    <r>
      <rPr>
        <strike/>
        <sz val="11"/>
        <color theme="3"/>
        <rFont val="Calibri"/>
        <family val="2"/>
        <scheme val="minor"/>
      </rPr>
      <t xml:space="preserve"> </t>
    </r>
    <r>
      <rPr>
        <sz val="11"/>
        <color theme="3"/>
        <rFont val="Calibri"/>
        <family val="2"/>
        <scheme val="minor"/>
      </rPr>
      <t xml:space="preserve">sulle acque reflue scaricate dagli impianti di depurazione con riferimento alle Tabelle 1, 2, 3, ovvero a tabella 4 </t>
    </r>
  </si>
  <si>
    <t>Numero parametri con superamento dei limiti di Tabelle 1, 2 e 3, ovvero di Tabella 4,  nei campioni eseguiti sulle acque reflue scaricate dagli impianti di depurazione</t>
  </si>
  <si>
    <r>
      <t xml:space="preserve">Si considerano solo gli impianti di potenzialità ≥ 2.000 A.E. (o 10.000 A.E. se recapitanti in acque costiere).
Conteggiare i campioni con determinazione di almeno uno dei parametri seguenti: BOD5,COD,SST (tab. 1, 3 o 4), Ptot (tab. 2, 3 o 4), Ntot (tab. 2 o 4), NH4,N-NO2,N-NO3 (tab.3). 
</t>
    </r>
    <r>
      <rPr>
        <sz val="10"/>
        <color theme="3"/>
        <rFont val="Calibri"/>
        <family val="2"/>
        <scheme val="minor"/>
      </rPr>
      <t>Ai sensi del co. 19.10, includere anche i campioni virtua</t>
    </r>
    <r>
      <rPr>
        <sz val="10"/>
        <color theme="4" tint="-0.249977111117893"/>
        <rFont val="Calibri"/>
        <family val="2"/>
        <scheme val="minor"/>
      </rPr>
      <t>li (che, per definizione, sono considerati superare i limiti di legge</t>
    </r>
    <r>
      <rPr>
        <sz val="10"/>
        <color theme="3"/>
        <rFont val="Calibri"/>
        <family val="2"/>
        <scheme val="minor"/>
      </rPr>
      <t>) necessari a garantire la frequenza di campionamento, nonché i campioni eseguiti dalle Autorità di controllo ambientale caratterizzati da superamento dei limiti, ai sensi del co. 19.5</t>
    </r>
  </si>
  <si>
    <t>Vedere comma 19.10 della RQTI</t>
  </si>
  <si>
    <t>Incidenza carico depurato in deroga</t>
  </si>
  <si>
    <t xml:space="preserve">mm </t>
  </si>
  <si>
    <t>mm</t>
  </si>
  <si>
    <t>Se non già inclusi tra i campioni con superamento svolti dal gestore, conteggiare i campioni con superamento dei limiti per almeno uno dei parametri seguenti: BOD5,COD,SST (tab. 1, 3 o 4), Ptot (tab. 2, 3 o 4), Ntot (tab. 2 o 4), NH4,N-NO2,N-NO3 (tab.3)</t>
  </si>
  <si>
    <r>
      <t>Quesito riferito al 31 dicembre di ogni anno.</t>
    </r>
    <r>
      <rPr>
        <sz val="10"/>
        <color theme="3"/>
        <rFont val="Calibri"/>
        <family val="2"/>
        <scheme val="minor"/>
      </rPr>
      <t xml:space="preserve"> Il riferimento al decreto d.lgs. 18/2023 si intende sempre "come successivamente modificato e integrato"</t>
    </r>
  </si>
  <si>
    <r>
      <t>inclusi in ∑C</t>
    </r>
    <r>
      <rPr>
        <vertAlign val="subscript"/>
        <sz val="10"/>
        <color theme="3"/>
        <rFont val="Calibri"/>
        <family val="2"/>
        <scheme val="minor"/>
      </rPr>
      <t>imp,DEP-cnc</t>
    </r>
    <r>
      <rPr>
        <sz val="10"/>
        <color theme="3"/>
        <rFont val="Calibri"/>
        <family val="2"/>
        <scheme val="minor"/>
      </rPr>
      <t xml:space="preserve"> ai sensi del co. 19.5 della RQTI. Si intendono i campioni puntuali e non la media annua</t>
    </r>
  </si>
  <si>
    <t>Utilizzo della regola 3 delle linee guida SNPA per la valutazione del superamento dei limiti nell'anno base</t>
  </si>
  <si>
    <t>Regola3_2023</t>
  </si>
  <si>
    <r>
      <t xml:space="preserve">Vedere RQTI al comma 19.3. 
Si considerano solo gli impianti di potenzialità ≥ 2.000 A.E. (o 10.000 A.E. se recapitanti in acque costiere).
Conteggiare i campioni con superamento dei limiti di almeno uno dei parametri seguenti: BOD5,COD,SST (tab. 1, 3 o 4), Ptot (tab. 2, 3 o 4), Ntot (tab. 2 o 4), NH4,N-NO2,N-NO3 (tab.3). 
</t>
    </r>
    <r>
      <rPr>
        <sz val="10"/>
        <color theme="3"/>
        <rFont val="Calibri"/>
        <family val="2"/>
        <scheme val="minor"/>
      </rPr>
      <t>Ai sensi del co. 19.10, includere anche i campioni virtual</t>
    </r>
    <r>
      <rPr>
        <sz val="10"/>
        <color theme="4" tint="-0.249977111117893"/>
        <rFont val="Calibri"/>
        <family val="2"/>
        <scheme val="minor"/>
      </rPr>
      <t>i (che, per definizione, sono considerati superare i limiti di legge)</t>
    </r>
    <r>
      <rPr>
        <sz val="10"/>
        <color theme="3"/>
        <rFont val="Calibri"/>
        <family val="2"/>
        <scheme val="minor"/>
      </rPr>
      <t xml:space="preserve"> necessari a garantire la frequenza di campionamento, nonché i campioni eseguiti dalle Autorità di controllo ambientale caratterizzati da superamento dei limiti, ai sensi del co. 19.5.</t>
    </r>
    <r>
      <rPr>
        <sz val="10"/>
        <rFont val="Calibri"/>
        <family val="2"/>
        <scheme val="minor"/>
      </rPr>
      <t xml:space="preserve">
</t>
    </r>
    <r>
      <rPr>
        <sz val="10"/>
        <color theme="4" tint="-0.249977111117893"/>
        <rFont val="Calibri"/>
        <family val="2"/>
        <scheme val="minor"/>
      </rPr>
      <t>I superamenti vanno valutati secondo le linee guida SNPA 34/2021, facendo riferimento alla regola 3.</t>
    </r>
  </si>
  <si>
    <t>COMUNE DI VALPRATO SOANA</t>
  </si>
  <si>
    <t>COMUNE DI PERDIFUMO</t>
  </si>
  <si>
    <t>Comune di San Rufo</t>
  </si>
  <si>
    <t>COMUNE DI GROTTE DI CASTRO</t>
  </si>
  <si>
    <t>COMUNE DI AGNONE</t>
  </si>
  <si>
    <t>COMUNE DI LIZZANO IN BELVEDERE</t>
  </si>
  <si>
    <t>COMUNE DI SAN MANGO SUL CALORE</t>
  </si>
  <si>
    <t>COMUNE DI TRIVENTO</t>
  </si>
  <si>
    <t>Comune di Quart</t>
  </si>
  <si>
    <t>SOGEA srl</t>
  </si>
  <si>
    <t>COMUNE DI CAPRAROLA</t>
  </si>
  <si>
    <t>COMUNE DI VENAFRO</t>
  </si>
  <si>
    <t>COMUNE DI AYMAVILLES</t>
  </si>
  <si>
    <t>COMUNE DI GRESSAN</t>
  </si>
  <si>
    <t>comune di saint-marcel</t>
  </si>
  <si>
    <t>COMUNE DI LA SALLE</t>
  </si>
  <si>
    <t>Comune di Pollein</t>
  </si>
  <si>
    <t>COMUNE DI NUS</t>
  </si>
  <si>
    <t>COMUNE DI CHALLAND SAINT VICTOR</t>
  </si>
  <si>
    <t>COMUNE DI FENIS</t>
  </si>
  <si>
    <t>ARA PUSTERIA SPA</t>
  </si>
  <si>
    <t>Comune di Rifiano</t>
  </si>
  <si>
    <t>COMUNE DI AYAS</t>
  </si>
  <si>
    <t>COMUNE DI JOVENCAN</t>
  </si>
  <si>
    <t>COMUNE DI CHARVENSOD</t>
  </si>
  <si>
    <t>Comune di Montagna sulla strada del vino/Gemeinde Montan an der Weinstraße</t>
  </si>
  <si>
    <t>COMUNE DI BRISSOGNE</t>
  </si>
  <si>
    <t>COMUNE DI MORGEX</t>
  </si>
  <si>
    <t>COMUNE DI SAINT-PIERRE</t>
  </si>
  <si>
    <t>COMUNE DI LA THUILE</t>
  </si>
  <si>
    <t>comune di sarre</t>
  </si>
  <si>
    <t>COMUNE DI SALORNO SULLA STRADA DEL VINO</t>
  </si>
  <si>
    <t>COMUNE DI GUARDIAREGIA</t>
  </si>
  <si>
    <t>Comune di Pré Saint Didier</t>
  </si>
  <si>
    <t>COMUNE DI SAINT-CHRISTOPHE</t>
  </si>
  <si>
    <t>Unité des Communes valdotaines Mont-Rose</t>
  </si>
  <si>
    <t>Comune di Casalbore</t>
  </si>
  <si>
    <t>Comune di Mazzarrone</t>
  </si>
  <si>
    <t>COMUNE DI FABRICA DI ROMA</t>
  </si>
  <si>
    <t>COMUNE DI DOMICELLA</t>
  </si>
  <si>
    <t>COMUNE DI LUOGOSANO</t>
  </si>
  <si>
    <t>COMUNE DI PONTELANDOLFO</t>
  </si>
  <si>
    <t>Comune di Verrès</t>
  </si>
  <si>
    <t>COMUNE DI MORRONE DEL SANNIO</t>
  </si>
  <si>
    <t>COMUNE DI PALATA</t>
  </si>
  <si>
    <t>comune di civitacampomarano</t>
  </si>
  <si>
    <t>COMUNE DI BARANELLO</t>
  </si>
  <si>
    <t>COMUNE DI MONTAQUILA</t>
  </si>
  <si>
    <t>Comune di Morano Calabro</t>
  </si>
  <si>
    <t>Comune di Civitavecchia</t>
  </si>
  <si>
    <t>Comune di San Nicolò di Comelico</t>
  </si>
  <si>
    <t>COMUNE DI RONCIGLIONE</t>
  </si>
  <si>
    <t>COMUNE DI BAGNOREGIO</t>
  </si>
  <si>
    <t>COMUNE DI BESSUDE</t>
  </si>
  <si>
    <t>Comune di Latera</t>
  </si>
  <si>
    <t>COMUNE DI FARNESE</t>
  </si>
  <si>
    <t>COMUNE DI VALENTANO</t>
  </si>
  <si>
    <t>comune di onano</t>
  </si>
  <si>
    <t>SOCIETA' GESTIONE RIUNITA IDRICO S.P.A.</t>
  </si>
  <si>
    <t>COMUNE DI BELGIOIOSO</t>
  </si>
  <si>
    <t>COMUNE DI COURMAYEUR</t>
  </si>
  <si>
    <t>COMUNE DI SANT'ALFIO</t>
  </si>
  <si>
    <t>COMUNE DI CASSANO ALL'IONIO</t>
  </si>
  <si>
    <t>Comune di Celenza Valfortore</t>
  </si>
  <si>
    <t>CONSORZIO ACQUA POTABILE DI MIAGLIANO</t>
  </si>
  <si>
    <t>Comune di Sant'Agata Di Militello</t>
  </si>
  <si>
    <t>Comune di San Pietro Apostolo</t>
  </si>
  <si>
    <t>COMUNE DI ARIENZO</t>
  </si>
  <si>
    <t>COMUNE DI VINCHIATURO</t>
  </si>
  <si>
    <t>COMUNE DI GIUNGANO</t>
  </si>
  <si>
    <t>Comune di Cancello ed Arnone</t>
  </si>
  <si>
    <t>COMUNE DI ISNELLO</t>
  </si>
  <si>
    <t>COMUNE DI ROCCAPIEMONTE</t>
  </si>
  <si>
    <t>COMUNE DI RIPALIMOSANI</t>
  </si>
  <si>
    <t>COMUNE DI SERRA D'AIELLO</t>
  </si>
  <si>
    <t>COMUNE DI APRIGLIANO</t>
  </si>
  <si>
    <t>Comune di Cicerale</t>
  </si>
  <si>
    <t>COMUNE DI SANTO STEFANO IN ASPROMONTE</t>
  </si>
  <si>
    <t>COMUNE DI CIVITELLA ROVETO</t>
  </si>
  <si>
    <t>COMUNE DI CASTELVENERE</t>
  </si>
  <si>
    <t>COMUNE DI CASACALENDA</t>
  </si>
  <si>
    <t>COMUNE DI GIUSVALLA</t>
  </si>
  <si>
    <t>Comune di Mongiana</t>
  </si>
  <si>
    <t>Comune di Colliano</t>
  </si>
  <si>
    <t>COMUNE DI CERCIVENTO</t>
  </si>
  <si>
    <t>Comune di Santa Croce di Magliano</t>
  </si>
  <si>
    <t>COMUNE DI FILIGHERA</t>
  </si>
  <si>
    <t>Comune di TORRE DE' NEGRI</t>
  </si>
  <si>
    <t>COMUNE DI POZZILLI</t>
  </si>
  <si>
    <t>COMUNE DI LADISPOLI</t>
  </si>
  <si>
    <t>comune di ferruzzano</t>
  </si>
  <si>
    <t>COMUNE DI CARDETO</t>
  </si>
  <si>
    <t>HERACQUAMODENA S.R.L.</t>
  </si>
  <si>
    <t>comune di Porto Cesareo</t>
  </si>
  <si>
    <t xml:space="preserve">ACQUE PONTE DI FERRO S.R.L. </t>
  </si>
  <si>
    <t>ACQUE LO SCIUTO S.R.L.</t>
  </si>
  <si>
    <t>S.ED.A. S.R.L. SOCIETA' EDUZIONE ACQUE</t>
  </si>
  <si>
    <t>NAIADI srl</t>
  </si>
  <si>
    <t>aggiornata 16/02/2026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</si>
</sst>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0_-;\-* #,##0_-;_-* &quot;-&quot;_-;_-@_-"/>
    <numFmt numFmtId="44" formatCode="_-* #,##0.00\ &quot;€&quot;_-;\-* #,##0.00\ &quot;€&quot;_-;_-* &quot;-&quot;??\ &quot;€&quot;_-;_-@_-"/>
    <numFmt numFmtId="43" formatCode="_-* #,##0.00_-;\-* #,##0.00_-;_-* &quot;-&quot;??_-;_-@_-"/>
    <numFmt numFmtId="164" formatCode="_(&quot;$&quot;* #,##0_);_(&quot;$&quot;* \(#,##0\);_(&quot;$&quot;* &quot;-&quot;_);_(@_)"/>
    <numFmt numFmtId="165" formatCode="_-* #,##0\ _€_-;\-* #,##0\ _€_-;_-* &quot;-&quot;\ _€_-;_-@_-"/>
    <numFmt numFmtId="166" formatCode="_-* #,##0.00\ _€_-;\-* #,##0.00\ _€_-;_-* &quot;-&quot;??\ _€_-;_-@_-"/>
    <numFmt numFmtId="167" formatCode="_-&quot;€&quot;\ * #,##0.00_-;\-&quot;€&quot;\ * #,##0.00_-;_-&quot;€&quot;\ * &quot;-&quot;??_-;_-@_-"/>
    <numFmt numFmtId="168" formatCode="_-[$€-2]\ * #,##0.00_-;\-[$€-2]\ * #,##0.00_-;_-[$€-2]\ * &quot;-&quot;??_-"/>
    <numFmt numFmtId="169" formatCode="#,##0;\-\ #,##0;\-"/>
    <numFmt numFmtId="170" formatCode="#,##0_ ;\-#,##0\ "/>
    <numFmt numFmtId="171" formatCode="0.000"/>
    <numFmt numFmtId="172" formatCode="0.0%"/>
    <numFmt numFmtId="173" formatCode="0.000%"/>
    <numFmt numFmtId="174" formatCode="0.0000%"/>
    <numFmt numFmtId="175" formatCode="d/m/yyyy;@"/>
    <numFmt numFmtId="176" formatCode="0.0000"/>
    <numFmt numFmtId="177" formatCode="#,##0.0"/>
    <numFmt numFmtId="178" formatCode="#,##0.00_ ;\-#,##0.00\ "/>
    <numFmt numFmtId="179" formatCode="dd/mm/yy;@"/>
    <numFmt numFmtId="180" formatCode="0_ ;\-0\ "/>
    <numFmt numFmtId="181" formatCode="_-* #,##0_-;\-* #,##0_-;_-* &quot;-&quot;??_-;_-@_-"/>
  </numFmts>
  <fonts count="121" x14ac:knownFonts="1">
    <font>
      <sz val="11"/>
      <color theme="1"/>
      <name val="Calibri"/>
      <family val="2"/>
      <scheme val="minor"/>
    </font>
    <font>
      <i/>
      <sz val="11"/>
      <color theme="1"/>
      <name val="Calibri"/>
      <family val="2"/>
      <scheme val="minor"/>
    </font>
    <font>
      <b/>
      <sz val="11"/>
      <color theme="1"/>
      <name val="Calibri"/>
      <family val="2"/>
      <scheme val="minor"/>
    </font>
    <font>
      <sz val="10"/>
      <color theme="1"/>
      <name val="Calibri"/>
      <family val="2"/>
      <scheme val="minor"/>
    </font>
    <font>
      <sz val="11"/>
      <color theme="1"/>
      <name val="Calibri"/>
      <family val="2"/>
      <scheme val="minor"/>
    </font>
    <font>
      <sz val="9"/>
      <name val="Calibri"/>
      <family val="2"/>
    </font>
    <font>
      <sz val="11"/>
      <name val="Calibri"/>
      <family val="2"/>
    </font>
    <font>
      <sz val="10"/>
      <name val="Arial"/>
      <family val="2"/>
    </font>
    <font>
      <u/>
      <sz val="10"/>
      <color indexed="36"/>
      <name val="Arial"/>
      <family val="2"/>
    </font>
    <font>
      <u/>
      <sz val="10"/>
      <color indexed="12"/>
      <name val="Arial"/>
      <family val="2"/>
    </font>
    <font>
      <sz val="11"/>
      <color indexed="8"/>
      <name val="Calibri"/>
      <family val="2"/>
    </font>
    <font>
      <sz val="11"/>
      <name val="Calibri"/>
      <family val="2"/>
      <scheme val="minor"/>
    </font>
    <font>
      <b/>
      <sz val="8"/>
      <name val="Calibri"/>
      <family val="2"/>
    </font>
    <font>
      <sz val="8"/>
      <color indexed="8"/>
      <name val="Arial"/>
      <family val="2"/>
    </font>
    <font>
      <sz val="11"/>
      <color rgb="FFFF0000"/>
      <name val="Calibri"/>
      <family val="2"/>
      <scheme val="minor"/>
    </font>
    <font>
      <b/>
      <sz val="10"/>
      <name val="MS Sans Serif"/>
      <family val="2"/>
    </font>
    <font>
      <sz val="10"/>
      <name val="MS Sans Serif"/>
      <family val="2"/>
    </font>
    <font>
      <b/>
      <sz val="10"/>
      <name val="Helv"/>
    </font>
    <font>
      <sz val="10"/>
      <name val="Times New Roman"/>
      <family val="1"/>
    </font>
    <font>
      <b/>
      <sz val="8"/>
      <name val="Helv"/>
    </font>
    <font>
      <sz val="10"/>
      <name val="Arial Narrow"/>
      <family val="2"/>
    </font>
    <font>
      <i/>
      <sz val="11"/>
      <color rgb="FFFF0000"/>
      <name val="Calibri"/>
      <family val="2"/>
      <scheme val="minor"/>
    </font>
    <font>
      <sz val="11"/>
      <color rgb="FF000000"/>
      <name val="Calibri"/>
      <family val="2"/>
      <charset val="1"/>
    </font>
    <font>
      <sz val="11"/>
      <color rgb="FF000000"/>
      <name val="Calibri"/>
      <family val="2"/>
      <scheme val="minor"/>
    </font>
    <font>
      <b/>
      <sz val="11"/>
      <color indexed="8"/>
      <name val="Calibri"/>
      <family val="2"/>
      <scheme val="minor"/>
    </font>
    <font>
      <sz val="11"/>
      <color indexed="8"/>
      <name val="Calibri"/>
      <family val="2"/>
      <scheme val="minor"/>
    </font>
    <font>
      <b/>
      <sz val="11"/>
      <name val="Calibri"/>
      <family val="2"/>
      <scheme val="minor"/>
    </font>
    <font>
      <sz val="10"/>
      <name val="Calibri"/>
      <family val="2"/>
      <scheme val="minor"/>
    </font>
    <font>
      <i/>
      <sz val="11"/>
      <color indexed="8"/>
      <name val="Calibri"/>
      <family val="2"/>
      <scheme val="minor"/>
    </font>
    <font>
      <b/>
      <sz val="11"/>
      <color rgb="FF000000"/>
      <name val="Calibri"/>
      <family val="2"/>
      <scheme val="minor"/>
    </font>
    <font>
      <vertAlign val="subscript"/>
      <sz val="11"/>
      <color rgb="FF000000"/>
      <name val="Calibri"/>
      <family val="2"/>
      <scheme val="minor"/>
    </font>
    <font>
      <b/>
      <sz val="10"/>
      <name val="Calibri"/>
      <family val="2"/>
      <scheme val="minor"/>
    </font>
    <font>
      <vertAlign val="subscript"/>
      <sz val="11"/>
      <name val="Calibri"/>
      <family val="2"/>
      <scheme val="minor"/>
    </font>
    <font>
      <sz val="11"/>
      <color theme="0" tint="-0.249977111117893"/>
      <name val="Calibri"/>
      <family val="2"/>
      <charset val="1"/>
    </font>
    <font>
      <sz val="10"/>
      <color rgb="FFFF0000"/>
      <name val="Arial"/>
      <family val="2"/>
    </font>
    <font>
      <b/>
      <sz val="13"/>
      <color theme="3"/>
      <name val="Calibri"/>
      <family val="2"/>
      <scheme val="minor"/>
    </font>
    <font>
      <vertAlign val="subscript"/>
      <sz val="11"/>
      <color theme="1"/>
      <name val="Calibri"/>
      <family val="2"/>
      <scheme val="minor"/>
    </font>
    <font>
      <i/>
      <vertAlign val="subscript"/>
      <sz val="11"/>
      <color indexed="8"/>
      <name val="Calibri"/>
      <family val="2"/>
      <scheme val="minor"/>
    </font>
    <font>
      <vertAlign val="subscript"/>
      <sz val="11"/>
      <color indexed="8"/>
      <name val="Calibri"/>
      <family val="2"/>
      <scheme val="minor"/>
    </font>
    <font>
      <sz val="11"/>
      <color theme="1"/>
      <name val="Calibri"/>
      <family val="2"/>
    </font>
    <font>
      <vertAlign val="subscript"/>
      <sz val="10"/>
      <name val="Calibri"/>
      <family val="2"/>
      <scheme val="minor"/>
    </font>
    <font>
      <i/>
      <sz val="11"/>
      <name val="Calibri"/>
      <family val="2"/>
      <scheme val="minor"/>
    </font>
    <font>
      <sz val="11"/>
      <color theme="9" tint="-0.249977111117893"/>
      <name val="Calibri"/>
      <family val="2"/>
      <scheme val="minor"/>
    </font>
    <font>
      <b/>
      <vertAlign val="subscript"/>
      <sz val="11"/>
      <color theme="1"/>
      <name val="Calibri"/>
      <family val="2"/>
      <scheme val="minor"/>
    </font>
    <font>
      <b/>
      <vertAlign val="subscript"/>
      <sz val="11"/>
      <color rgb="FF000000"/>
      <name val="Calibri"/>
      <family val="2"/>
      <scheme val="minor"/>
    </font>
    <font>
      <sz val="11"/>
      <color rgb="FF000000"/>
      <name val="Calibri"/>
      <family val="2"/>
    </font>
    <font>
      <i/>
      <sz val="11"/>
      <color rgb="FF000000"/>
      <name val="Calibri"/>
      <family val="2"/>
    </font>
    <font>
      <strike/>
      <sz val="10"/>
      <name val="Calibri"/>
      <family val="2"/>
      <scheme val="minor"/>
    </font>
    <font>
      <b/>
      <vertAlign val="subscript"/>
      <sz val="11"/>
      <color rgb="FF000000"/>
      <name val="Calibri"/>
      <family val="2"/>
    </font>
    <font>
      <sz val="11"/>
      <color theme="0" tint="-4.9989318521683403E-2"/>
      <name val="Calibri"/>
      <family val="2"/>
      <scheme val="minor"/>
    </font>
    <font>
      <sz val="11"/>
      <color theme="0"/>
      <name val="Calibri"/>
      <family val="2"/>
      <scheme val="minor"/>
    </font>
    <font>
      <sz val="11"/>
      <name val="Calibri"/>
      <family val="2"/>
      <charset val="1"/>
    </font>
    <font>
      <i/>
      <vertAlign val="subscript"/>
      <sz val="11"/>
      <name val="Calibri"/>
      <family val="2"/>
      <scheme val="minor"/>
    </font>
    <font>
      <b/>
      <sz val="14"/>
      <name val="Calibri"/>
      <family val="2"/>
      <scheme val="minor"/>
    </font>
    <font>
      <b/>
      <sz val="11"/>
      <color theme="0"/>
      <name val="Calibri"/>
      <family val="2"/>
      <scheme val="minor"/>
    </font>
    <font>
      <sz val="10"/>
      <color theme="0"/>
      <name val="Arial Narrow"/>
      <family val="2"/>
    </font>
    <font>
      <sz val="10"/>
      <color rgb="FF9C6500"/>
      <name val="Arial Narrow"/>
      <family val="2"/>
    </font>
    <font>
      <b/>
      <sz val="10"/>
      <color rgb="FF3F3F3F"/>
      <name val="Arial Narrow"/>
      <family val="2"/>
    </font>
    <font>
      <b/>
      <vertAlign val="subscript"/>
      <sz val="11"/>
      <name val="Calibri"/>
      <family val="2"/>
      <scheme val="minor"/>
    </font>
    <font>
      <i/>
      <sz val="11"/>
      <color rgb="FFFF0000"/>
      <name val="Arial Narrow"/>
      <family val="2"/>
    </font>
    <font>
      <sz val="10"/>
      <color indexed="8"/>
      <name val="Calibri"/>
      <family val="2"/>
    </font>
    <font>
      <b/>
      <sz val="10"/>
      <color indexed="8"/>
      <name val="Calibri"/>
      <family val="2"/>
    </font>
    <font>
      <i/>
      <sz val="11"/>
      <color indexed="8"/>
      <name val="Calibri"/>
      <family val="2"/>
    </font>
    <font>
      <b/>
      <sz val="14"/>
      <color indexed="56"/>
      <name val="Calibri"/>
      <family val="2"/>
    </font>
    <font>
      <b/>
      <u/>
      <sz val="18"/>
      <color indexed="56"/>
      <name val="Calibri"/>
      <family val="2"/>
    </font>
    <font>
      <b/>
      <sz val="12"/>
      <color theme="3"/>
      <name val="Calibri"/>
      <family val="2"/>
      <scheme val="minor"/>
    </font>
    <font>
      <sz val="11"/>
      <color theme="3"/>
      <name val="Calibri"/>
      <family val="2"/>
      <scheme val="minor"/>
    </font>
    <font>
      <u/>
      <sz val="10"/>
      <name val="Calibri"/>
      <family val="2"/>
      <scheme val="minor"/>
    </font>
    <font>
      <sz val="9"/>
      <color rgb="FFE26B0A"/>
      <name val="Calibri"/>
      <family val="2"/>
      <scheme val="minor"/>
    </font>
    <font>
      <sz val="11"/>
      <color rgb="FFE26B0A"/>
      <name val="Calibri"/>
      <family val="2"/>
      <scheme val="minor"/>
    </font>
    <font>
      <b/>
      <sz val="11"/>
      <color rgb="FFE26B0A"/>
      <name val="Calibri"/>
      <family val="2"/>
      <scheme val="minor"/>
    </font>
    <font>
      <b/>
      <i/>
      <sz val="11"/>
      <color rgb="FFE26B0A"/>
      <name val="Calibri"/>
      <family val="2"/>
      <scheme val="minor"/>
    </font>
    <font>
      <sz val="10"/>
      <color rgb="FFE26B0A"/>
      <name val="Calibri"/>
      <family val="2"/>
      <scheme val="minor"/>
    </font>
    <font>
      <b/>
      <u/>
      <sz val="12"/>
      <color theme="3"/>
      <name val="Calibri"/>
      <family val="2"/>
      <scheme val="minor"/>
    </font>
    <font>
      <sz val="10"/>
      <color indexed="64"/>
      <name val="Arial"/>
      <family val="2"/>
    </font>
    <font>
      <b/>
      <sz val="10"/>
      <color indexed="64"/>
      <name val="Arial"/>
      <family val="2"/>
    </font>
    <font>
      <sz val="9"/>
      <color indexed="81"/>
      <name val="Tahoma"/>
      <family val="2"/>
    </font>
    <font>
      <sz val="12"/>
      <color theme="3"/>
      <name val="Calibri"/>
      <family val="2"/>
      <scheme val="minor"/>
    </font>
    <font>
      <b/>
      <sz val="11"/>
      <color theme="4" tint="-0.249977111117893"/>
      <name val="Calibri"/>
      <family val="2"/>
      <scheme val="minor"/>
    </font>
    <font>
      <b/>
      <sz val="12"/>
      <color indexed="8"/>
      <name val="Calibri"/>
      <family val="2"/>
      <scheme val="minor"/>
    </font>
    <font>
      <b/>
      <sz val="10"/>
      <color indexed="81"/>
      <name val="Calibri"/>
      <family val="2"/>
    </font>
    <font>
      <sz val="10"/>
      <color indexed="81"/>
      <name val="Calibri"/>
      <family val="2"/>
      <scheme val="minor"/>
    </font>
    <font>
      <b/>
      <sz val="10"/>
      <name val="Arial"/>
      <family val="2"/>
    </font>
    <font>
      <b/>
      <sz val="11"/>
      <color theme="3"/>
      <name val="Calibri"/>
      <family val="2"/>
      <scheme val="minor"/>
    </font>
    <font>
      <strike/>
      <sz val="11"/>
      <name val="Calibri"/>
      <family val="2"/>
      <scheme val="minor"/>
    </font>
    <font>
      <sz val="10"/>
      <name val="Calibri"/>
      <family val="2"/>
    </font>
    <font>
      <b/>
      <sz val="10"/>
      <color theme="0"/>
      <name val="Arial"/>
      <family val="2"/>
    </font>
    <font>
      <b/>
      <sz val="9"/>
      <color indexed="81"/>
      <name val="Tahoma"/>
      <family val="2"/>
    </font>
    <font>
      <sz val="8"/>
      <name val="Calibri"/>
      <family val="2"/>
      <scheme val="minor"/>
    </font>
    <font>
      <sz val="11"/>
      <color rgb="FF006100"/>
      <name val="Calibri"/>
      <family val="2"/>
      <scheme val="minor"/>
    </font>
    <font>
      <sz val="10"/>
      <color theme="1"/>
      <name val="Arial Narrow"/>
      <family val="2"/>
    </font>
    <font>
      <sz val="10"/>
      <color rgb="FF3F3F76"/>
      <name val="Arial Narrow"/>
      <family val="2"/>
    </font>
    <font>
      <u/>
      <sz val="11"/>
      <color theme="10"/>
      <name val="Calibri"/>
      <family val="2"/>
      <scheme val="minor"/>
    </font>
    <font>
      <sz val="10"/>
      <color rgb="FF006100"/>
      <name val="Arial Narrow"/>
      <family val="2"/>
    </font>
    <font>
      <b/>
      <i/>
      <sz val="10"/>
      <name val="Calibri"/>
      <family val="2"/>
    </font>
    <font>
      <i/>
      <sz val="10"/>
      <name val="Calibri"/>
      <family val="2"/>
    </font>
    <font>
      <i/>
      <sz val="10"/>
      <color indexed="9"/>
      <name val="Calibri"/>
      <family val="2"/>
    </font>
    <font>
      <sz val="11"/>
      <color rgb="FFC00000"/>
      <name val="Calibri"/>
      <family val="2"/>
      <scheme val="minor"/>
    </font>
    <font>
      <sz val="10"/>
      <color theme="3"/>
      <name val="Calibri"/>
      <family val="2"/>
      <scheme val="minor"/>
    </font>
    <font>
      <i/>
      <sz val="10"/>
      <color theme="9" tint="-0.249977111117893"/>
      <name val="Calibri"/>
      <family val="2"/>
      <scheme val="minor"/>
    </font>
    <font>
      <i/>
      <sz val="10"/>
      <color rgb="FFFF0000"/>
      <name val="Arial Narrow"/>
      <family val="2"/>
    </font>
    <font>
      <b/>
      <sz val="11"/>
      <color theme="0" tint="-0.34998626667073579"/>
      <name val="Calibri"/>
      <family val="2"/>
      <scheme val="minor"/>
    </font>
    <font>
      <sz val="11"/>
      <color theme="0" tint="-0.34998626667073579"/>
      <name val="Calibri"/>
      <family val="2"/>
      <scheme val="minor"/>
    </font>
    <font>
      <i/>
      <sz val="10"/>
      <name val="Calibri"/>
      <family val="2"/>
      <scheme val="minor"/>
    </font>
    <font>
      <strike/>
      <vertAlign val="subscript"/>
      <sz val="11"/>
      <name val="Calibri"/>
      <family val="2"/>
      <scheme val="minor"/>
    </font>
    <font>
      <b/>
      <vertAlign val="subscript"/>
      <sz val="11"/>
      <name val="Calibri"/>
      <family val="2"/>
    </font>
    <font>
      <strike/>
      <sz val="11"/>
      <color theme="1"/>
      <name val="Calibri"/>
      <family val="2"/>
      <scheme val="minor"/>
    </font>
    <font>
      <strike/>
      <sz val="9"/>
      <color rgb="FFE26B0A"/>
      <name val="Calibri"/>
      <family val="2"/>
      <scheme val="minor"/>
    </font>
    <font>
      <sz val="11"/>
      <color theme="0" tint="-0.499984740745262"/>
      <name val="Calibri"/>
      <family val="2"/>
      <scheme val="minor"/>
    </font>
    <font>
      <sz val="11"/>
      <color theme="1" tint="0.499984740745262"/>
      <name val="Calibri"/>
      <family val="2"/>
      <scheme val="minor"/>
    </font>
    <font>
      <b/>
      <sz val="11"/>
      <color theme="1" tint="0.499984740745262"/>
      <name val="Calibri"/>
      <family val="2"/>
      <scheme val="minor"/>
    </font>
    <font>
      <vertAlign val="subscript"/>
      <sz val="11"/>
      <color theme="3"/>
      <name val="Calibri"/>
      <family val="2"/>
      <scheme val="minor"/>
    </font>
    <font>
      <i/>
      <sz val="11"/>
      <color theme="3"/>
      <name val="Calibri"/>
      <family val="2"/>
      <scheme val="minor"/>
    </font>
    <font>
      <vertAlign val="subscript"/>
      <sz val="10"/>
      <color theme="3"/>
      <name val="Calibri"/>
      <family val="2"/>
      <scheme val="minor"/>
    </font>
    <font>
      <b/>
      <i/>
      <sz val="10"/>
      <color theme="1" tint="0.499984740745262"/>
      <name val="Calibri"/>
      <family val="2"/>
    </font>
    <font>
      <b/>
      <sz val="11"/>
      <name val="Calibri"/>
      <family val="2"/>
    </font>
    <font>
      <u/>
      <sz val="11"/>
      <name val="Calibri"/>
      <family val="2"/>
      <scheme val="minor"/>
    </font>
    <font>
      <b/>
      <sz val="13"/>
      <color theme="4" tint="-0.249977111117893"/>
      <name val="Calibri"/>
      <family val="2"/>
      <scheme val="minor"/>
    </font>
    <font>
      <i/>
      <sz val="11"/>
      <color theme="4" tint="-0.249977111117893"/>
      <name val="Calibri"/>
      <family val="2"/>
      <scheme val="minor"/>
    </font>
    <font>
      <sz val="10"/>
      <color theme="4" tint="-0.249977111117893"/>
      <name val="Calibri"/>
      <family val="2"/>
      <scheme val="minor"/>
    </font>
    <font>
      <strike/>
      <sz val="11"/>
      <color theme="3"/>
      <name val="Calibri"/>
      <family val="2"/>
      <scheme val="minor"/>
    </font>
  </fonts>
  <fills count="35">
    <fill>
      <patternFill patternType="none"/>
    </fill>
    <fill>
      <patternFill patternType="gray125"/>
    </fill>
    <fill>
      <patternFill patternType="solid">
        <fgColor theme="0" tint="-0.14999847407452621"/>
        <bgColor indexed="64"/>
      </patternFill>
    </fill>
    <fill>
      <patternFill patternType="solid">
        <fgColor indexed="26"/>
        <bgColor indexed="64"/>
      </patternFill>
    </fill>
    <fill>
      <patternFill patternType="solid">
        <fgColor theme="0"/>
        <bgColor indexed="64"/>
      </patternFill>
    </fill>
    <fill>
      <patternFill patternType="solid">
        <fgColor indexed="26"/>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59999389629810485"/>
        <bgColor indexed="64"/>
      </patternFill>
    </fill>
    <fill>
      <patternFill patternType="lightUp">
        <bgColor theme="0" tint="-4.9989318521683403E-2"/>
      </patternFill>
    </fill>
    <fill>
      <patternFill patternType="solid">
        <fgColor rgb="FFFFFFCC"/>
        <bgColor rgb="FFFFFFCC"/>
      </patternFill>
    </fill>
    <fill>
      <patternFill patternType="solid">
        <fgColor rgb="FFD9D9D9"/>
        <bgColor indexed="64"/>
      </patternFill>
    </fill>
    <fill>
      <patternFill patternType="solid">
        <fgColor rgb="FFFFEB9C"/>
      </patternFill>
    </fill>
    <fill>
      <patternFill patternType="solid">
        <fgColor rgb="FFF2F2F2"/>
      </patternFill>
    </fill>
    <fill>
      <patternFill patternType="solid">
        <fgColor theme="6"/>
      </patternFill>
    </fill>
    <fill>
      <patternFill patternType="solid">
        <fgColor theme="3" tint="0.79998168889431442"/>
        <bgColor indexed="64"/>
      </patternFill>
    </fill>
    <fill>
      <patternFill patternType="solid">
        <fgColor theme="3" tint="0.39997558519241921"/>
        <bgColor indexed="64"/>
      </patternFill>
    </fill>
    <fill>
      <patternFill patternType="lightUp">
        <fgColor theme="0" tint="-0.24994659260841701"/>
        <bgColor indexed="65"/>
      </patternFill>
    </fill>
    <fill>
      <patternFill patternType="lightUp">
        <fgColor theme="0" tint="-0.24994659260841701"/>
        <bgColor auto="1"/>
      </patternFill>
    </fill>
    <fill>
      <patternFill patternType="lightUp">
        <fgColor theme="0" tint="-0.24994659260841701"/>
        <bgColor theme="0"/>
      </patternFill>
    </fill>
    <fill>
      <patternFill patternType="solid">
        <fgColor theme="8" tint="-0.249977111117893"/>
        <bgColor indexed="64"/>
      </patternFill>
    </fill>
    <fill>
      <patternFill patternType="lightUp">
        <bgColor theme="0" tint="-0.14999847407452621"/>
      </patternFill>
    </fill>
    <fill>
      <patternFill patternType="lightUp">
        <bgColor rgb="FFFFFFCC"/>
      </patternFill>
    </fill>
    <fill>
      <patternFill patternType="lightUp">
        <fgColor auto="1"/>
        <bgColor theme="0" tint="-4.9989318521683403E-2"/>
      </patternFill>
    </fill>
    <fill>
      <patternFill patternType="solid">
        <fgColor rgb="FFC6EFCE"/>
      </patternFill>
    </fill>
    <fill>
      <patternFill patternType="solid">
        <fgColor rgb="FFFFCC99"/>
      </patternFill>
    </fill>
    <fill>
      <patternFill patternType="solid">
        <fgColor indexed="65"/>
        <bgColor theme="0"/>
      </patternFill>
    </fill>
    <fill>
      <patternFill patternType="lightUp">
        <fgColor auto="1"/>
        <bgColor theme="0" tint="-0.14996795556505021"/>
      </patternFill>
    </fill>
    <fill>
      <patternFill patternType="lightUp">
        <bgColor theme="0" tint="-0.14996795556505021"/>
      </patternFill>
    </fill>
    <fill>
      <patternFill patternType="lightUp">
        <fgColor auto="1"/>
        <bgColor theme="0" tint="-0.14993743705557422"/>
      </patternFill>
    </fill>
    <fill>
      <patternFill patternType="lightUp">
        <fgColor theme="1"/>
        <bgColor theme="0" tint="-0.14996795556505021"/>
      </patternFill>
    </fill>
    <fill>
      <patternFill patternType="lightUp"/>
    </fill>
    <fill>
      <patternFill patternType="solid">
        <fgColor rgb="FFFFFFD0"/>
        <bgColor indexed="64"/>
      </patternFill>
    </fill>
    <fill>
      <patternFill patternType="gray0625">
        <bgColor theme="0" tint="-4.9989318521683403E-2"/>
      </patternFill>
    </fill>
  </fills>
  <borders count="18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double">
        <color indexed="56"/>
      </left>
      <right style="thin">
        <color indexed="64"/>
      </right>
      <top style="thin">
        <color indexed="64"/>
      </top>
      <bottom style="dotted">
        <color indexed="56"/>
      </bottom>
      <diagonal/>
    </border>
    <border>
      <left style="thin">
        <color indexed="64"/>
      </left>
      <right style="thin">
        <color indexed="64"/>
      </right>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double">
        <color indexed="56"/>
      </left>
      <right style="thin">
        <color indexed="64"/>
      </right>
      <top style="thin">
        <color indexed="64"/>
      </top>
      <bottom style="dotted">
        <color indexed="56"/>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auto="1"/>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auto="1"/>
      </right>
      <top/>
      <bottom/>
      <diagonal/>
    </border>
    <border>
      <left style="thin">
        <color auto="1"/>
      </left>
      <right/>
      <top style="medium">
        <color indexed="64"/>
      </top>
      <bottom style="thin">
        <color indexed="64"/>
      </bottom>
      <diagonal/>
    </border>
    <border>
      <left/>
      <right style="thin">
        <color auto="1"/>
      </right>
      <top style="medium">
        <color indexed="64"/>
      </top>
      <bottom style="thin">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double">
        <color indexed="56"/>
      </left>
      <right style="thin">
        <color indexed="64"/>
      </right>
      <top style="thin">
        <color indexed="64"/>
      </top>
      <bottom style="dotted">
        <color indexed="56"/>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medium">
        <color indexed="64"/>
      </left>
      <right style="medium">
        <color indexed="64"/>
      </right>
      <top style="thin">
        <color auto="1"/>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medium">
        <color indexed="64"/>
      </right>
      <top style="thin">
        <color auto="1"/>
      </top>
      <bottom style="thin">
        <color auto="1"/>
      </bottom>
      <diagonal/>
    </border>
    <border>
      <left style="double">
        <color indexed="21"/>
      </left>
      <right/>
      <top style="double">
        <color indexed="21"/>
      </top>
      <bottom style="hair">
        <color indexed="64"/>
      </bottom>
      <diagonal/>
    </border>
    <border>
      <left/>
      <right/>
      <top style="double">
        <color indexed="21"/>
      </top>
      <bottom style="hair">
        <color indexed="64"/>
      </bottom>
      <diagonal/>
    </border>
    <border>
      <left/>
      <right style="double">
        <color indexed="21"/>
      </right>
      <top style="double">
        <color indexed="21"/>
      </top>
      <bottom style="hair">
        <color indexed="64"/>
      </bottom>
      <diagonal/>
    </border>
    <border>
      <left style="double">
        <color indexed="21"/>
      </left>
      <right/>
      <top style="hair">
        <color indexed="64"/>
      </top>
      <bottom style="hair">
        <color indexed="64"/>
      </bottom>
      <diagonal/>
    </border>
    <border>
      <left/>
      <right/>
      <top style="hair">
        <color indexed="64"/>
      </top>
      <bottom style="hair">
        <color indexed="64"/>
      </bottom>
      <diagonal/>
    </border>
    <border>
      <left/>
      <right style="double">
        <color indexed="21"/>
      </right>
      <top style="hair">
        <color indexed="64"/>
      </top>
      <bottom style="hair">
        <color indexed="64"/>
      </bottom>
      <diagonal/>
    </border>
    <border>
      <left style="medium">
        <color indexed="64"/>
      </left>
      <right style="thin">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21"/>
      </left>
      <right/>
      <top style="hair">
        <color indexed="64"/>
      </top>
      <bottom/>
      <diagonal/>
    </border>
    <border>
      <left/>
      <right/>
      <top style="hair">
        <color indexed="64"/>
      </top>
      <bottom/>
      <diagonal/>
    </border>
    <border>
      <left/>
      <right style="double">
        <color indexed="21"/>
      </right>
      <top style="hair">
        <color indexed="64"/>
      </top>
      <bottom/>
      <diagonal/>
    </border>
    <border>
      <left style="thin">
        <color auto="1"/>
      </left>
      <right/>
      <top style="thin">
        <color auto="1"/>
      </top>
      <bottom style="thin">
        <color auto="1"/>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auto="1"/>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auto="1"/>
      </top>
      <bottom/>
      <diagonal/>
    </border>
    <border>
      <left style="thin">
        <color auto="1"/>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double">
        <color indexed="21"/>
      </left>
      <right style="double">
        <color indexed="21"/>
      </right>
      <top style="double">
        <color indexed="21"/>
      </top>
      <bottom/>
      <diagonal/>
    </border>
    <border>
      <left style="double">
        <color indexed="21"/>
      </left>
      <right style="double">
        <color indexed="21"/>
      </right>
      <top/>
      <bottom/>
      <diagonal/>
    </border>
    <border>
      <left style="double">
        <color indexed="21"/>
      </left>
      <right style="double">
        <color indexed="21"/>
      </right>
      <top/>
      <bottom style="double">
        <color indexed="21"/>
      </bottom>
      <diagonal/>
    </border>
    <border>
      <left style="double">
        <color indexed="21"/>
      </left>
      <right/>
      <top/>
      <bottom style="double">
        <color indexed="21"/>
      </bottom>
      <diagonal/>
    </border>
    <border>
      <left/>
      <right/>
      <top/>
      <bottom style="double">
        <color indexed="21"/>
      </bottom>
      <diagonal/>
    </border>
    <border>
      <left/>
      <right style="double">
        <color indexed="21"/>
      </right>
      <top/>
      <bottom style="double">
        <color indexed="21"/>
      </bottom>
      <diagonal/>
    </border>
    <border>
      <left style="double">
        <color indexed="21"/>
      </left>
      <right/>
      <top style="double">
        <color indexed="21"/>
      </top>
      <bottom style="double">
        <color indexed="21"/>
      </bottom>
      <diagonal/>
    </border>
    <border>
      <left/>
      <right/>
      <top style="double">
        <color indexed="21"/>
      </top>
      <bottom style="double">
        <color indexed="21"/>
      </bottom>
      <diagonal/>
    </border>
    <border>
      <left/>
      <right style="double">
        <color indexed="21"/>
      </right>
      <top style="double">
        <color indexed="21"/>
      </top>
      <bottom style="double">
        <color indexed="21"/>
      </bottom>
      <diagonal/>
    </border>
    <border>
      <left style="medium">
        <color indexed="64"/>
      </left>
      <right style="medium">
        <color indexed="64"/>
      </right>
      <top style="thin">
        <color auto="1"/>
      </top>
      <bottom style="thin">
        <color indexed="64"/>
      </bottom>
      <diagonal/>
    </border>
    <border>
      <left/>
      <right style="thin">
        <color indexed="64"/>
      </right>
      <top style="thin">
        <color auto="1"/>
      </top>
      <bottom style="medium">
        <color indexed="64"/>
      </bottom>
      <diagonal/>
    </border>
    <border>
      <left style="thin">
        <color auto="1"/>
      </left>
      <right/>
      <top/>
      <bottom/>
      <diagonal/>
    </border>
    <border>
      <left style="thin">
        <color indexed="64"/>
      </left>
      <right/>
      <top style="thin">
        <color auto="1"/>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double">
        <color indexed="56"/>
      </left>
      <right style="thin">
        <color indexed="64"/>
      </right>
      <top style="thin">
        <color indexed="64"/>
      </top>
      <bottom style="dotted">
        <color indexed="56"/>
      </bottom>
      <diagonal/>
    </border>
    <border>
      <left style="medium">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right style="thin">
        <color indexed="64"/>
      </right>
      <top style="thin">
        <color indexed="64"/>
      </top>
      <bottom style="medium">
        <color indexed="64"/>
      </bottom>
      <diagonal/>
    </border>
    <border>
      <left style="thin">
        <color auto="1"/>
      </left>
      <right/>
      <top style="thin">
        <color auto="1"/>
      </top>
      <bottom style="thin">
        <color auto="1"/>
      </bottom>
      <diagonal/>
    </border>
    <border>
      <left style="thin">
        <color indexed="64"/>
      </left>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64"/>
      </left>
      <right style="medium">
        <color indexed="64"/>
      </right>
      <top style="thin">
        <color auto="1"/>
      </top>
      <bottom style="thin">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auto="1"/>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medium">
        <color indexed="64"/>
      </left>
      <right/>
      <top style="medium">
        <color indexed="64"/>
      </top>
      <bottom style="thin">
        <color auto="1"/>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style="thin">
        <color auto="1"/>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auto="1"/>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auto="1"/>
      </top>
      <bottom/>
      <diagonal/>
    </border>
  </borders>
  <cellStyleXfs count="8762">
    <xf numFmtId="0" fontId="0" fillId="0" borderId="0"/>
    <xf numFmtId="168" fontId="7" fillId="0" borderId="0" applyFont="0" applyFill="0" applyBorder="0" applyAlignment="0" applyProtection="0"/>
    <xf numFmtId="168" fontId="8" fillId="0" borderId="0" applyNumberFormat="0" applyFill="0" applyBorder="0" applyAlignment="0" applyProtection="0">
      <alignment vertical="top"/>
      <protection locked="0"/>
    </xf>
    <xf numFmtId="168" fontId="9" fillId="0" borderId="0" applyNumberFormat="0" applyFill="0" applyBorder="0" applyAlignment="0" applyProtection="0">
      <alignment vertical="top"/>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4" fillId="0" borderId="0"/>
    <xf numFmtId="168" fontId="10" fillId="0" borderId="0"/>
    <xf numFmtId="168" fontId="10" fillId="0" borderId="0"/>
    <xf numFmtId="168" fontId="4" fillId="0" borderId="0"/>
    <xf numFmtId="9" fontId="7" fillId="0" borderId="0" applyFont="0" applyFill="0" applyBorder="0" applyAlignment="0" applyProtection="0"/>
    <xf numFmtId="169" fontId="5" fillId="3" borderId="3" applyFont="0" applyFill="0" applyBorder="0" applyAlignment="0" applyProtection="0">
      <alignment horizontal="right" vertical="center"/>
      <protection locked="0"/>
    </xf>
    <xf numFmtId="10" fontId="12" fillId="3" borderId="1" applyFont="0" applyFill="0" applyBorder="0" applyAlignment="0" applyProtection="0">
      <alignment horizontal="center" vertical="center"/>
      <protection locked="0"/>
    </xf>
    <xf numFmtId="9" fontId="6" fillId="0" borderId="0" applyFont="0" applyFill="0" applyBorder="0" applyAlignment="0" applyProtection="0"/>
    <xf numFmtId="168" fontId="15" fillId="0" borderId="0" applyNumberFormat="0" applyFill="0" applyBorder="0" applyAlignment="0" applyProtection="0"/>
    <xf numFmtId="15" fontId="16" fillId="0" borderId="0"/>
    <xf numFmtId="168" fontId="7" fillId="0" borderId="0" applyFont="0" applyFill="0" applyBorder="0" applyAlignment="0" applyProtection="0"/>
    <xf numFmtId="41" fontId="13"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 fontId="17" fillId="0" borderId="5"/>
    <xf numFmtId="168" fontId="18" fillId="0" borderId="0"/>
    <xf numFmtId="168" fontId="4" fillId="0" borderId="0"/>
    <xf numFmtId="168" fontId="10" fillId="0" borderId="0"/>
    <xf numFmtId="168" fontId="10" fillId="5" borderId="6" applyNumberFormat="0" applyFont="0" applyAlignment="0" applyProtection="0"/>
    <xf numFmtId="3" fontId="19" fillId="0" borderId="0" applyFont="0" applyFill="0" applyBorder="0" applyAlignment="0" applyProtection="0"/>
    <xf numFmtId="168" fontId="15" fillId="0" borderId="0" applyNumberFormat="0" applyFill="0" applyBorder="0" applyAlignment="0" applyProtection="0"/>
    <xf numFmtId="164" fontId="13" fillId="0" borderId="0" applyFont="0" applyFill="0" applyBorder="0" applyAlignment="0" applyProtection="0"/>
    <xf numFmtId="168" fontId="6" fillId="0" borderId="0"/>
    <xf numFmtId="43" fontId="4" fillId="0" borderId="0" applyFont="0" applyFill="0" applyBorder="0" applyAlignment="0" applyProtection="0"/>
    <xf numFmtId="9" fontId="4" fillId="0" borderId="0" applyFont="0" applyFill="0" applyBorder="0" applyAlignment="0" applyProtection="0"/>
    <xf numFmtId="168" fontId="7" fillId="0" borderId="0"/>
    <xf numFmtId="169" fontId="5" fillId="3" borderId="8" applyFont="0" applyFill="0" applyBorder="0" applyAlignment="0" applyProtection="0">
      <alignment horizontal="right" vertical="center"/>
      <protection locked="0"/>
    </xf>
    <xf numFmtId="10" fontId="12" fillId="3" borderId="9" applyFont="0" applyFill="0" applyBorder="0" applyAlignment="0" applyProtection="0">
      <alignment horizontal="center" vertical="center"/>
      <protection locked="0"/>
    </xf>
    <xf numFmtId="168" fontId="10" fillId="5" borderId="10" applyNumberFormat="0" applyFont="0" applyAlignment="0" applyProtection="0"/>
    <xf numFmtId="0" fontId="22" fillId="0" borderId="0"/>
    <xf numFmtId="0" fontId="10" fillId="0" borderId="0"/>
    <xf numFmtId="0" fontId="22" fillId="0" borderId="0"/>
    <xf numFmtId="43" fontId="10" fillId="0" borderId="0" applyFont="0" applyFill="0" applyBorder="0" applyAlignment="0" applyProtection="0"/>
    <xf numFmtId="0" fontId="10" fillId="0" borderId="0"/>
    <xf numFmtId="167" fontId="7" fillId="0" borderId="0" applyFont="0" applyFill="0" applyBorder="0" applyAlignment="0" applyProtection="0"/>
    <xf numFmtId="167" fontId="4" fillId="0" borderId="0" applyFont="0" applyFill="0" applyBorder="0" applyAlignment="0" applyProtection="0"/>
    <xf numFmtId="10" fontId="12" fillId="3" borderId="11" applyFont="0" applyFill="0" applyBorder="0" applyAlignment="0" applyProtection="0">
      <alignment horizontal="center" vertical="center"/>
      <protection locked="0"/>
    </xf>
    <xf numFmtId="168" fontId="9" fillId="0" borderId="0" applyNumberFormat="0" applyFill="0" applyBorder="0" applyAlignment="0" applyProtection="0">
      <alignment vertical="top"/>
      <protection locked="0"/>
    </xf>
    <xf numFmtId="4" fontId="17" fillId="0" borderId="12"/>
    <xf numFmtId="168" fontId="10" fillId="5" borderId="31" applyNumberFormat="0" applyFont="0" applyAlignment="0" applyProtection="0"/>
    <xf numFmtId="169" fontId="5" fillId="3" borderId="33" applyFont="0" applyFill="0" applyBorder="0" applyAlignment="0" applyProtection="0">
      <alignment horizontal="right" vertical="center"/>
      <protection locked="0"/>
    </xf>
    <xf numFmtId="10" fontId="12" fillId="3" borderId="32" applyFont="0" applyFill="0" applyBorder="0" applyAlignment="0" applyProtection="0">
      <alignment horizontal="center" vertical="center"/>
      <protection locked="0"/>
    </xf>
    <xf numFmtId="168" fontId="10" fillId="5" borderId="31" applyNumberFormat="0" applyFont="0" applyAlignment="0" applyProtection="0"/>
    <xf numFmtId="167" fontId="4" fillId="0" borderId="0" applyFont="0" applyFill="0" applyBorder="0" applyAlignment="0" applyProtection="0"/>
    <xf numFmtId="0" fontId="56" fillId="13" borderId="0" applyNumberFormat="0" applyBorder="0" applyAlignment="0" applyProtection="0"/>
    <xf numFmtId="0" fontId="57" fillId="14" borderId="29" applyNumberFormat="0" applyAlignment="0" applyProtection="0"/>
    <xf numFmtId="0" fontId="55" fillId="15" borderId="0" applyNumberFormat="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1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8" fontId="10" fillId="5" borderId="34" applyNumberFormat="0" applyFont="0" applyAlignment="0" applyProtection="0"/>
    <xf numFmtId="166" fontId="4" fillId="0" borderId="0" applyFont="0" applyFill="0" applyBorder="0" applyAlignment="0" applyProtection="0"/>
    <xf numFmtId="168" fontId="10" fillId="5" borderId="35" applyNumberFormat="0" applyFont="0" applyAlignment="0" applyProtection="0"/>
    <xf numFmtId="166" fontId="10" fillId="0" borderId="0" applyFont="0" applyFill="0" applyBorder="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36" applyFont="0" applyFill="0" applyBorder="0" applyAlignment="0" applyProtection="0">
      <alignment horizontal="center" vertical="center"/>
      <protection locked="0"/>
    </xf>
    <xf numFmtId="168" fontId="10" fillId="5" borderId="37" applyNumberFormat="0" applyFont="0" applyAlignment="0" applyProtection="0"/>
    <xf numFmtId="10" fontId="12" fillId="3" borderId="36" applyFont="0" applyFill="0" applyBorder="0" applyAlignment="0" applyProtection="0">
      <alignment horizontal="center" vertical="center"/>
      <protection locked="0"/>
    </xf>
    <xf numFmtId="167" fontId="4" fillId="0" borderId="0" applyFont="0" applyFill="0" applyBorder="0" applyAlignment="0" applyProtection="0"/>
    <xf numFmtId="0" fontId="74" fillId="0" borderId="0"/>
    <xf numFmtId="10" fontId="12" fillId="3" borderId="45" applyFont="0" applyFill="0" applyBorder="0" applyAlignment="0" applyProtection="0">
      <alignment horizontal="center" vertical="center"/>
      <protection locked="0"/>
    </xf>
    <xf numFmtId="168" fontId="10" fillId="5" borderId="94" applyNumberFormat="0" applyFont="0" applyAlignment="0" applyProtection="0"/>
    <xf numFmtId="0" fontId="91" fillId="26" borderId="92" applyNumberFormat="0" applyAlignment="0" applyProtection="0"/>
    <xf numFmtId="10" fontId="12" fillId="3" borderId="45" applyFont="0" applyFill="0" applyBorder="0" applyAlignment="0" applyProtection="0">
      <alignment horizontal="center" vertical="center"/>
      <protection locked="0"/>
    </xf>
    <xf numFmtId="168" fontId="10" fillId="5" borderId="95" applyNumberFormat="0" applyFont="0" applyAlignment="0" applyProtection="0"/>
    <xf numFmtId="0" fontId="93" fillId="25" borderId="0" applyNumberFormat="0" applyBorder="0" applyAlignment="0" applyProtection="0"/>
    <xf numFmtId="0" fontId="7" fillId="0" borderId="0"/>
    <xf numFmtId="0" fontId="7" fillId="0" borderId="0"/>
    <xf numFmtId="43" fontId="4" fillId="0" borderId="0" applyFont="0" applyFill="0" applyBorder="0" applyAlignment="0" applyProtection="0"/>
    <xf numFmtId="0" fontId="89" fillId="25" borderId="0" applyNumberFormat="0" applyBorder="0" applyAlignment="0" applyProtection="0"/>
    <xf numFmtId="0" fontId="4" fillId="0" borderId="0"/>
    <xf numFmtId="9" fontId="4" fillId="0" borderId="0" applyFont="0" applyFill="0" applyBorder="0" applyAlignment="0" applyProtection="0"/>
    <xf numFmtId="0" fontId="92" fillId="0" borderId="0" applyNumberFormat="0" applyFill="0" applyBorder="0" applyAlignment="0" applyProtection="0"/>
    <xf numFmtId="169" fontId="5" fillId="3" borderId="97" applyFont="0" applyFill="0" applyBorder="0" applyAlignment="0" applyProtection="0">
      <alignment horizontal="right" vertical="center"/>
      <protection locked="0"/>
    </xf>
    <xf numFmtId="10" fontId="12" fillId="3" borderId="96"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0" fontId="4" fillId="0" borderId="0"/>
    <xf numFmtId="0" fontId="90" fillId="0" borderId="0"/>
    <xf numFmtId="9" fontId="9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08"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09"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05" applyNumberFormat="0" applyFont="0" applyAlignment="0" applyProtection="0"/>
    <xf numFmtId="43" fontId="4" fillId="0" borderId="0" applyFont="0" applyFill="0" applyBorder="0" applyAlignment="0" applyProtection="0"/>
    <xf numFmtId="10" fontId="12" fillId="3" borderId="106" applyFont="0" applyFill="0" applyBorder="0" applyAlignment="0" applyProtection="0">
      <alignment horizontal="center" vertical="center"/>
      <protection locked="0"/>
    </xf>
    <xf numFmtId="168" fontId="10" fillId="5" borderId="105" applyNumberFormat="0" applyFont="0" applyAlignment="0" applyProtection="0"/>
    <xf numFmtId="43" fontId="10" fillId="0" borderId="0" applyFont="0" applyFill="0" applyBorder="0" applyAlignment="0" applyProtection="0"/>
    <xf numFmtId="10" fontId="12" fillId="3" borderId="96" applyFont="0" applyFill="0" applyBorder="0" applyAlignment="0" applyProtection="0">
      <alignment horizontal="center" vertical="center"/>
      <protection locked="0"/>
    </xf>
    <xf numFmtId="168" fontId="10" fillId="5" borderId="95" applyNumberFormat="0" applyFont="0" applyAlignment="0" applyProtection="0"/>
    <xf numFmtId="10" fontId="12" fillId="3" borderId="45" applyFont="0" applyFill="0" applyBorder="0" applyAlignment="0" applyProtection="0">
      <alignment horizontal="center" vertical="center"/>
      <protection locked="0"/>
    </xf>
    <xf numFmtId="168" fontId="10" fillId="5" borderId="95" applyNumberFormat="0" applyFont="0" applyAlignment="0" applyProtection="0"/>
    <xf numFmtId="10" fontId="12" fillId="3" borderId="106" applyFont="0" applyFill="0" applyBorder="0" applyAlignment="0" applyProtection="0">
      <alignment horizontal="center" vertical="center"/>
      <protection locked="0"/>
    </xf>
    <xf numFmtId="168" fontId="10" fillId="5" borderId="95" applyNumberFormat="0" applyFont="0" applyAlignment="0" applyProtection="0"/>
    <xf numFmtId="168" fontId="10" fillId="5" borderId="95" applyNumberFormat="0" applyFont="0" applyAlignment="0" applyProtection="0"/>
    <xf numFmtId="168" fontId="10" fillId="5" borderId="108"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45" applyFont="0" applyFill="0" applyBorder="0" applyAlignment="0" applyProtection="0">
      <alignment horizontal="center" vertical="center"/>
      <protection locked="0"/>
    </xf>
    <xf numFmtId="168" fontId="10" fillId="5" borderId="95" applyNumberFormat="0" applyFont="0" applyAlignment="0" applyProtection="0"/>
    <xf numFmtId="10" fontId="12" fillId="3" borderId="45" applyFont="0" applyFill="0" applyBorder="0" applyAlignment="0" applyProtection="0">
      <alignment horizontal="center" vertical="center"/>
      <protection locked="0"/>
    </xf>
    <xf numFmtId="168" fontId="10" fillId="5" borderId="107" applyNumberFormat="0" applyFont="0" applyAlignment="0" applyProtection="0"/>
    <xf numFmtId="168" fontId="10" fillId="5" borderId="107" applyNumberFormat="0" applyFont="0" applyAlignment="0" applyProtection="0"/>
    <xf numFmtId="43" fontId="4" fillId="0" borderId="0" applyFont="0" applyFill="0" applyBorder="0" applyAlignment="0" applyProtection="0"/>
    <xf numFmtId="10" fontId="12" fillId="3" borderId="106"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09" applyFont="0" applyFill="0" applyBorder="0" applyAlignment="0" applyProtection="0">
      <alignment horizontal="center" vertical="center"/>
      <protection locked="0"/>
    </xf>
    <xf numFmtId="10" fontId="12" fillId="3" borderId="109" applyFont="0" applyFill="0" applyBorder="0" applyAlignment="0" applyProtection="0">
      <alignment horizontal="center" vertical="center"/>
      <protection locked="0"/>
    </xf>
    <xf numFmtId="10" fontId="12" fillId="3" borderId="109" applyFont="0" applyFill="0" applyBorder="0" applyAlignment="0" applyProtection="0">
      <alignment horizontal="center" vertical="center"/>
      <protection locked="0"/>
    </xf>
    <xf numFmtId="168" fontId="10" fillId="5" borderId="113" applyNumberFormat="0" applyFont="0" applyAlignment="0" applyProtection="0"/>
    <xf numFmtId="10" fontId="12" fillId="3" borderId="114"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15"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4" fontId="17" fillId="0" borderId="117"/>
    <xf numFmtId="168" fontId="10" fillId="5" borderId="116" applyNumberFormat="0" applyFont="0" applyAlignment="0" applyProtection="0"/>
    <xf numFmtId="43" fontId="4" fillId="0" borderId="0" applyFont="0" applyFill="0" applyBorder="0" applyAlignment="0" applyProtection="0"/>
    <xf numFmtId="10" fontId="12" fillId="3" borderId="115" applyFont="0" applyFill="0" applyBorder="0" applyAlignment="0" applyProtection="0">
      <alignment horizontal="center" vertical="center"/>
      <protection locked="0"/>
    </xf>
    <xf numFmtId="168" fontId="10" fillId="5" borderId="116" applyNumberFormat="0" applyFont="0" applyAlignment="0" applyProtection="0"/>
    <xf numFmtId="43" fontId="10" fillId="0" borderId="0" applyFont="0" applyFill="0" applyBorder="0" applyAlignment="0" applyProtection="0"/>
    <xf numFmtId="10" fontId="12" fillId="3" borderId="115" applyFont="0" applyFill="0" applyBorder="0" applyAlignment="0" applyProtection="0">
      <alignment horizontal="center" vertical="center"/>
      <protection locked="0"/>
    </xf>
    <xf numFmtId="4" fontId="17" fillId="0" borderId="117"/>
    <xf numFmtId="168" fontId="10" fillId="5" borderId="116" applyNumberFormat="0" applyFont="0" applyAlignment="0" applyProtection="0"/>
    <xf numFmtId="10" fontId="12" fillId="3" borderId="115" applyFont="0" applyFill="0" applyBorder="0" applyAlignment="0" applyProtection="0">
      <alignment horizontal="center" vertical="center"/>
      <protection locked="0"/>
    </xf>
    <xf numFmtId="168" fontId="10" fillId="5" borderId="116" applyNumberFormat="0" applyFont="0" applyAlignment="0" applyProtection="0"/>
    <xf numFmtId="168" fontId="10" fillId="5" borderId="116" applyNumberFormat="0" applyFont="0" applyAlignment="0" applyProtection="0"/>
    <xf numFmtId="168" fontId="10" fillId="5" borderId="116"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15" applyFont="0" applyFill="0" applyBorder="0" applyAlignment="0" applyProtection="0">
      <alignment horizontal="center" vertical="center"/>
      <protection locked="0"/>
    </xf>
    <xf numFmtId="168" fontId="10" fillId="5" borderId="116" applyNumberFormat="0" applyFont="0" applyAlignment="0" applyProtection="0"/>
    <xf numFmtId="10" fontId="12" fillId="3" borderId="115" applyFont="0" applyFill="0" applyBorder="0" applyAlignment="0" applyProtection="0">
      <alignment horizontal="center" vertical="center"/>
      <protection locked="0"/>
    </xf>
    <xf numFmtId="0" fontId="74" fillId="0" borderId="0"/>
    <xf numFmtId="10" fontId="12" fillId="3" borderId="115" applyFont="0" applyFill="0" applyBorder="0" applyAlignment="0" applyProtection="0">
      <alignment horizontal="center" vertical="center"/>
      <protection locked="0"/>
    </xf>
    <xf numFmtId="168" fontId="10" fillId="5" borderId="37" applyNumberFormat="0" applyFont="0" applyAlignment="0" applyProtection="0"/>
    <xf numFmtId="10" fontId="12" fillId="3" borderId="115" applyFont="0" applyFill="0" applyBorder="0" applyAlignment="0" applyProtection="0">
      <alignment horizontal="center" vertical="center"/>
      <protection locked="0"/>
    </xf>
    <xf numFmtId="168" fontId="10" fillId="5" borderId="37" applyNumberFormat="0" applyFont="0" applyAlignment="0" applyProtection="0"/>
    <xf numFmtId="43" fontId="4" fillId="0" borderId="0" applyFont="0" applyFill="0" applyBorder="0" applyAlignment="0" applyProtection="0"/>
    <xf numFmtId="10" fontId="12" fillId="3" borderId="115"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37"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9"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37" applyNumberFormat="0" applyFont="0" applyAlignment="0" applyProtection="0"/>
    <xf numFmtId="43" fontId="4" fillId="0" borderId="0" applyFont="0" applyFill="0" applyBorder="0" applyAlignment="0" applyProtection="0"/>
    <xf numFmtId="10" fontId="12" fillId="3" borderId="9" applyFont="0" applyFill="0" applyBorder="0" applyAlignment="0" applyProtection="0">
      <alignment horizontal="center" vertical="center"/>
      <protection locked="0"/>
    </xf>
    <xf numFmtId="168" fontId="10" fillId="5" borderId="37" applyNumberFormat="0" applyFont="0" applyAlignment="0" applyProtection="0"/>
    <xf numFmtId="43" fontId="10" fillId="0" borderId="0" applyFont="0" applyFill="0" applyBorder="0" applyAlignment="0" applyProtection="0"/>
    <xf numFmtId="10" fontId="12" fillId="3" borderId="115" applyFont="0" applyFill="0" applyBorder="0" applyAlignment="0" applyProtection="0">
      <alignment horizontal="center" vertical="center"/>
      <protection locked="0"/>
    </xf>
    <xf numFmtId="168" fontId="10" fillId="5" borderId="37" applyNumberFormat="0" applyFont="0" applyAlignment="0" applyProtection="0"/>
    <xf numFmtId="10" fontId="12" fillId="3" borderId="115" applyFont="0" applyFill="0" applyBorder="0" applyAlignment="0" applyProtection="0">
      <alignment horizontal="center" vertical="center"/>
      <protection locked="0"/>
    </xf>
    <xf numFmtId="168" fontId="10" fillId="5" borderId="37" applyNumberFormat="0" applyFont="0" applyAlignment="0" applyProtection="0"/>
    <xf numFmtId="10" fontId="12" fillId="3" borderId="9" applyFont="0" applyFill="0" applyBorder="0" applyAlignment="0" applyProtection="0">
      <alignment horizontal="center" vertical="center"/>
      <protection locked="0"/>
    </xf>
    <xf numFmtId="168" fontId="10" fillId="5" borderId="37" applyNumberFormat="0" applyFont="0" applyAlignment="0" applyProtection="0"/>
    <xf numFmtId="168" fontId="10" fillId="5" borderId="37" applyNumberFormat="0" applyFont="0" applyAlignment="0" applyProtection="0"/>
    <xf numFmtId="168" fontId="10" fillId="5" borderId="3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15" applyFont="0" applyFill="0" applyBorder="0" applyAlignment="0" applyProtection="0">
      <alignment horizontal="center" vertical="center"/>
      <protection locked="0"/>
    </xf>
    <xf numFmtId="168" fontId="10" fillId="5" borderId="37" applyNumberFormat="0" applyFont="0" applyAlignment="0" applyProtection="0"/>
    <xf numFmtId="10" fontId="12" fillId="3" borderId="115" applyFont="0" applyFill="0" applyBorder="0" applyAlignment="0" applyProtection="0">
      <alignment horizontal="center" vertical="center"/>
      <protection locked="0"/>
    </xf>
    <xf numFmtId="168" fontId="10" fillId="5" borderId="37" applyNumberFormat="0" applyFont="0" applyAlignment="0" applyProtection="0"/>
    <xf numFmtId="168" fontId="10" fillId="5" borderId="37" applyNumberFormat="0" applyFont="0" applyAlignment="0" applyProtection="0"/>
    <xf numFmtId="43" fontId="4" fillId="0" borderId="0" applyFont="0" applyFill="0" applyBorder="0" applyAlignment="0" applyProtection="0"/>
    <xf numFmtId="10" fontId="12" fillId="3" borderId="9"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9" applyFont="0" applyFill="0" applyBorder="0" applyAlignment="0" applyProtection="0">
      <alignment horizontal="center" vertical="center"/>
      <protection locked="0"/>
    </xf>
    <xf numFmtId="10" fontId="12" fillId="3" borderId="9" applyFont="0" applyFill="0" applyBorder="0" applyAlignment="0" applyProtection="0">
      <alignment horizontal="center" vertical="center"/>
      <protection locked="0"/>
    </xf>
    <xf numFmtId="10" fontId="12" fillId="3" borderId="9"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21"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43" fontId="10"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30"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21"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30" applyNumberFormat="0" applyFont="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30" applyNumberFormat="0" applyFont="0" applyAlignment="0" applyProtection="0"/>
    <xf numFmtId="43" fontId="10"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30"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30" applyNumberFormat="0" applyFont="0" applyAlignment="0" applyProtection="0"/>
    <xf numFmtId="168" fontId="10" fillId="5" borderId="130" applyNumberFormat="0" applyFont="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21" applyFont="0" applyFill="0" applyBorder="0" applyAlignment="0" applyProtection="0">
      <alignment horizontal="center" vertical="center"/>
      <protection locked="0"/>
    </xf>
    <xf numFmtId="10" fontId="12" fillId="3" borderId="121" applyFont="0" applyFill="0" applyBorder="0" applyAlignment="0" applyProtection="0">
      <alignment horizontal="center" vertical="center"/>
      <protection locked="0"/>
    </xf>
    <xf numFmtId="10" fontId="12" fillId="3" borderId="121" applyFont="0" applyFill="0" applyBorder="0" applyAlignment="0" applyProtection="0">
      <alignment horizontal="center" vertical="center"/>
      <protection locked="0"/>
    </xf>
    <xf numFmtId="168" fontId="10" fillId="5" borderId="130" applyNumberFormat="0" applyFont="0" applyAlignment="0" applyProtection="0"/>
    <xf numFmtId="10" fontId="12" fillId="3" borderId="121"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21"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43" fontId="10"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1" applyFont="0" applyFill="0" applyBorder="0" applyAlignment="0" applyProtection="0">
      <alignment horizontal="center" vertical="center"/>
      <protection locked="0"/>
    </xf>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24"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21"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43" fontId="10"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21" applyFont="0" applyFill="0" applyBorder="0" applyAlignment="0" applyProtection="0">
      <alignment horizontal="center" vertical="center"/>
      <protection locked="0"/>
    </xf>
    <xf numFmtId="10" fontId="12" fillId="3" borderId="121" applyFont="0" applyFill="0" applyBorder="0" applyAlignment="0" applyProtection="0">
      <alignment horizontal="center" vertical="center"/>
      <protection locked="0"/>
    </xf>
    <xf numFmtId="10" fontId="12" fillId="3" borderId="121" applyFont="0" applyFill="0" applyBorder="0" applyAlignment="0" applyProtection="0">
      <alignment horizontal="center" vertical="center"/>
      <protection locked="0"/>
    </xf>
    <xf numFmtId="168" fontId="10" fillId="5" borderId="131"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1"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1"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1" applyNumberFormat="0" applyFont="0" applyAlignment="0" applyProtection="0"/>
    <xf numFmtId="168" fontId="10" fillId="5" borderId="131" applyNumberFormat="0" applyFont="0" applyAlignment="0" applyProtection="0"/>
    <xf numFmtId="168" fontId="10" fillId="5" borderId="131"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31"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68" fontId="10" fillId="5" borderId="133" applyNumberFormat="0" applyFont="0" applyAlignment="0" applyProtection="0"/>
    <xf numFmtId="10" fontId="12" fillId="3" borderId="125"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4" applyFont="0" applyFill="0" applyBorder="0" applyAlignment="0" applyProtection="0">
      <alignment horizontal="center" vertical="center"/>
      <protection locked="0"/>
    </xf>
    <xf numFmtId="43" fontId="10"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0" fontId="12" fillId="3" borderId="134" applyFont="0" applyFill="0" applyBorder="0" applyAlignment="0" applyProtection="0">
      <alignment horizontal="center" vertical="center"/>
      <protection locked="0"/>
    </xf>
    <xf numFmtId="44" fontId="7" fillId="0" borderId="0" applyFont="0" applyFill="0" applyBorder="0" applyAlignment="0" applyProtection="0"/>
    <xf numFmtId="44" fontId="4"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4" applyFont="0" applyFill="0" applyBorder="0" applyAlignment="0" applyProtection="0">
      <alignment horizontal="center" vertical="center"/>
      <protection locked="0"/>
    </xf>
    <xf numFmtId="43" fontId="4" fillId="0" borderId="0" applyFont="0" applyFill="0" applyBorder="0" applyAlignment="0" applyProtection="0"/>
    <xf numFmtId="10" fontId="12" fillId="3" borderId="132"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24"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32"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43" fontId="10" fillId="0" borderId="0" applyFont="0" applyFill="0" applyBorder="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32"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32"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43" fontId="10" fillId="0" borderId="0" applyFont="0" applyFill="0" applyBorder="0" applyAlignment="0" applyProtection="0"/>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43" fontId="4" fillId="0" borderId="0" applyFont="0" applyFill="0" applyBorder="0" applyAlignment="0" applyProtection="0"/>
    <xf numFmtId="10" fontId="12" fillId="3" borderId="132"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24"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25"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43" fontId="10" fillId="0" borderId="0" applyFont="0" applyFill="0" applyBorder="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25"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24" applyNumberFormat="0" applyFont="0" applyAlignment="0" applyProtection="0"/>
    <xf numFmtId="168" fontId="10" fillId="5" borderId="133" applyNumberFormat="0" applyFont="0" applyAlignment="0" applyProtection="0"/>
    <xf numFmtId="168" fontId="10" fillId="5" borderId="124" applyNumberFormat="0" applyFont="0" applyAlignment="0" applyProtection="0"/>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33" applyNumberFormat="0" applyFont="0" applyAlignment="0" applyProtection="0"/>
    <xf numFmtId="168" fontId="10" fillId="5" borderId="124" applyNumberFormat="0" applyFont="0" applyAlignment="0" applyProtection="0"/>
    <xf numFmtId="168" fontId="10" fillId="5" borderId="133" applyNumberFormat="0" applyFont="0" applyAlignment="0" applyProtection="0"/>
    <xf numFmtId="168" fontId="10" fillId="5" borderId="133" applyNumberFormat="0" applyFont="0" applyAlignment="0" applyProtection="0"/>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33"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33"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49" applyNumberFormat="0" applyFont="0" applyAlignment="0" applyProtection="0"/>
    <xf numFmtId="168" fontId="10" fillId="5" borderId="149" applyNumberFormat="0" applyFont="0" applyAlignment="0" applyProtection="0"/>
    <xf numFmtId="168" fontId="10" fillId="5" borderId="14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8" applyNumberFormat="0" applyFont="0" applyAlignment="0" applyProtection="0"/>
    <xf numFmtId="168" fontId="10" fillId="5" borderId="158" applyNumberFormat="0" applyFont="0" applyAlignment="0" applyProtection="0"/>
    <xf numFmtId="168" fontId="10" fillId="5" borderId="159" applyNumberFormat="0" applyFont="0" applyAlignment="0" applyProtection="0"/>
    <xf numFmtId="4" fontId="17" fillId="0" borderId="151"/>
    <xf numFmtId="10" fontId="12" fillId="3" borderId="16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6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3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4" fontId="17" fillId="0" borderId="151"/>
    <xf numFmtId="10" fontId="12" fillId="3" borderId="140" applyFont="0" applyFill="0" applyBorder="0" applyAlignment="0" applyProtection="0">
      <alignment horizontal="center" vertical="center"/>
      <protection locked="0"/>
    </xf>
    <xf numFmtId="168" fontId="10" fillId="5" borderId="141" applyNumberFormat="0" applyFont="0" applyAlignment="0" applyProtection="0"/>
    <xf numFmtId="168" fontId="10" fillId="5" borderId="15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4" fontId="17" fillId="0" borderId="156"/>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49" applyNumberFormat="0" applyFont="0" applyAlignment="0" applyProtection="0"/>
    <xf numFmtId="168" fontId="10" fillId="5" borderId="159" applyNumberFormat="0" applyFont="0" applyAlignment="0" applyProtection="0"/>
    <xf numFmtId="10" fontId="12" fillId="3" borderId="142"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39"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39" applyNumberFormat="0" applyFont="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39"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3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64"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8" applyNumberFormat="0" applyFont="0" applyAlignment="0" applyProtection="0"/>
    <xf numFmtId="168" fontId="10" fillId="5" borderId="159" applyNumberFormat="0" applyFont="0" applyAlignment="0" applyProtection="0"/>
    <xf numFmtId="10" fontId="12" fillId="3" borderId="15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39" applyNumberFormat="0" applyFont="0" applyAlignment="0" applyProtection="0"/>
    <xf numFmtId="168" fontId="10" fillId="5" borderId="139"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39" applyNumberFormat="0" applyFont="0" applyAlignment="0" applyProtection="0"/>
    <xf numFmtId="10" fontId="12" fillId="3" borderId="144"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3" applyNumberFormat="0" applyFont="0" applyAlignment="0" applyProtection="0"/>
    <xf numFmtId="10" fontId="12" fillId="3" borderId="153"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3"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43"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42"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3" applyNumberFormat="0" applyFont="0" applyAlignment="0" applyProtection="0"/>
    <xf numFmtId="43" fontId="4" fillId="0" borderId="0" applyFont="0" applyFill="0" applyBorder="0" applyAlignment="0" applyProtection="0"/>
    <xf numFmtId="10" fontId="12" fillId="3" borderId="142" applyFont="0" applyFill="0" applyBorder="0" applyAlignment="0" applyProtection="0">
      <alignment horizontal="center" vertical="center"/>
      <protection locked="0"/>
    </xf>
    <xf numFmtId="168" fontId="10" fillId="5" borderId="143" applyNumberFormat="0" applyFont="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3"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3" applyNumberFormat="0" applyFont="0" applyAlignment="0" applyProtection="0"/>
    <xf numFmtId="10" fontId="12" fillId="3" borderId="142" applyFont="0" applyFill="0" applyBorder="0" applyAlignment="0" applyProtection="0">
      <alignment horizontal="center" vertical="center"/>
      <protection locked="0"/>
    </xf>
    <xf numFmtId="168" fontId="10" fillId="5" borderId="143" applyNumberFormat="0" applyFont="0" applyAlignment="0" applyProtection="0"/>
    <xf numFmtId="168" fontId="10" fillId="5" borderId="143" applyNumberFormat="0" applyFont="0" applyAlignment="0" applyProtection="0"/>
    <xf numFmtId="168" fontId="10" fillId="5" borderId="143"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3"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3" applyNumberFormat="0" applyFont="0" applyAlignment="0" applyProtection="0"/>
    <xf numFmtId="168" fontId="10" fillId="5" borderId="143" applyNumberFormat="0" applyFont="0" applyAlignment="0" applyProtection="0"/>
    <xf numFmtId="43" fontId="4" fillId="0" borderId="0" applyFont="0" applyFill="0" applyBorder="0" applyAlignment="0" applyProtection="0"/>
    <xf numFmtId="10" fontId="12" fillId="3" borderId="142"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2" applyFont="0" applyFill="0" applyBorder="0" applyAlignment="0" applyProtection="0">
      <alignment horizontal="center" vertical="center"/>
      <protection locked="0"/>
    </xf>
    <xf numFmtId="10" fontId="12" fillId="3" borderId="142" applyFont="0" applyFill="0" applyBorder="0" applyAlignment="0" applyProtection="0">
      <alignment horizontal="center" vertical="center"/>
      <protection locked="0"/>
    </xf>
    <xf numFmtId="10" fontId="12" fillId="3" borderId="142"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39" applyNumberFormat="0" applyFont="0" applyAlignment="0" applyProtection="0"/>
    <xf numFmtId="43" fontId="4" fillId="0" borderId="0" applyFont="0" applyFill="0" applyBorder="0" applyAlignment="0" applyProtection="0"/>
    <xf numFmtId="169" fontId="5" fillId="3" borderId="97" applyFont="0" applyFill="0" applyBorder="0" applyAlignment="0" applyProtection="0">
      <alignment horizontal="right" vertical="center"/>
      <protection locked="0"/>
    </xf>
    <xf numFmtId="10" fontId="12" fillId="3" borderId="163" applyFont="0" applyFill="0" applyBorder="0" applyAlignment="0" applyProtection="0">
      <alignment horizontal="center" vertical="center"/>
      <protection locked="0"/>
    </xf>
    <xf numFmtId="168" fontId="10" fillId="5" borderId="139" applyNumberFormat="0" applyFont="0" applyAlignment="0" applyProtection="0"/>
    <xf numFmtId="169" fontId="5" fillId="3" borderId="97" applyFont="0" applyFill="0" applyBorder="0" applyAlignment="0" applyProtection="0">
      <alignment horizontal="right"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43" fontId="4" fillId="0" borderId="0" applyFont="0" applyFill="0" applyBorder="0" applyAlignment="0" applyProtection="0"/>
    <xf numFmtId="168" fontId="10" fillId="5" borderId="146"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0" fontId="12" fillId="3" borderId="148" applyFont="0" applyFill="0" applyBorder="0" applyAlignment="0" applyProtection="0">
      <alignment horizontal="center" vertical="center"/>
      <protection locked="0"/>
    </xf>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6"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6" applyNumberFormat="0" applyFont="0" applyAlignment="0" applyProtection="0"/>
    <xf numFmtId="168" fontId="10" fillId="5" borderId="146"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9" fontId="5" fillId="3" borderId="97" applyFont="0" applyFill="0" applyBorder="0" applyAlignment="0" applyProtection="0">
      <alignment horizontal="right" vertical="center"/>
      <protection locked="0"/>
    </xf>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47"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46"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6"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68" fontId="10" fillId="5" borderId="146" applyNumberFormat="0" applyFont="0" applyAlignment="0" applyProtection="0"/>
    <xf numFmtId="168" fontId="10" fillId="5" borderId="146"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68" fontId="10" fillId="5" borderId="146"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47"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47"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47"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47"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4" fontId="7" fillId="0" borderId="0" applyFont="0" applyFill="0" applyBorder="0" applyAlignment="0" applyProtection="0"/>
    <xf numFmtId="44" fontId="4" fillId="0" borderId="0" applyFont="0" applyFill="0" applyBorder="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49" applyNumberFormat="0" applyFont="0" applyAlignment="0" applyProtection="0"/>
    <xf numFmtId="168" fontId="10" fillId="5" borderId="14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6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4" fontId="17" fillId="0" borderId="156"/>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68" fontId="10" fillId="5" borderId="149" applyNumberFormat="0" applyFont="0" applyAlignment="0" applyProtection="0"/>
    <xf numFmtId="168" fontId="10" fillId="5" borderId="14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68" fontId="10" fillId="5" borderId="14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68" fontId="10" fillId="5" borderId="164" applyNumberFormat="0" applyFont="0" applyAlignment="0" applyProtection="0"/>
    <xf numFmtId="168" fontId="10" fillId="5" borderId="154" applyNumberFormat="0" applyFont="0" applyAlignment="0" applyProtection="0"/>
    <xf numFmtId="168" fontId="10" fillId="5" borderId="149"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8" applyNumberFormat="0" applyFont="0" applyAlignment="0" applyProtection="0"/>
    <xf numFmtId="168" fontId="10" fillId="5" borderId="158"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8"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64" applyNumberFormat="0" applyFont="0" applyAlignment="0" applyProtection="0"/>
    <xf numFmtId="168" fontId="10" fillId="5" borderId="16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8"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4" fontId="17" fillId="0" borderId="151"/>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8"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9"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2" applyNumberFormat="0" applyFont="0" applyAlignment="0" applyProtection="0"/>
    <xf numFmtId="168" fontId="10" fillId="5" borderId="15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9"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0" applyFont="0" applyFill="0" applyBorder="0" applyAlignment="0" applyProtection="0">
      <alignment horizontal="center" vertical="center"/>
      <protection locked="0"/>
    </xf>
    <xf numFmtId="4" fontId="17" fillId="0" borderId="156"/>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64"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8"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2" applyNumberFormat="0" applyFont="0" applyAlignment="0" applyProtection="0"/>
    <xf numFmtId="168" fontId="10" fillId="5" borderId="154"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60"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4"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60"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64"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61"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2" applyNumberFormat="0" applyFont="0" applyAlignment="0" applyProtection="0"/>
    <xf numFmtId="168" fontId="10" fillId="5" borderId="154"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2"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64"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8"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64" applyNumberFormat="0" applyFont="0" applyAlignment="0" applyProtection="0"/>
    <xf numFmtId="168" fontId="10" fillId="5" borderId="158"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8" applyNumberFormat="0" applyFont="0" applyAlignment="0" applyProtection="0"/>
    <xf numFmtId="168" fontId="10" fillId="5" borderId="159" applyNumberFormat="0" applyFont="0" applyAlignment="0" applyProtection="0"/>
    <xf numFmtId="168" fontId="10" fillId="5" borderId="158" applyNumberFormat="0" applyFont="0" applyAlignment="0" applyProtection="0"/>
    <xf numFmtId="168" fontId="10" fillId="5" borderId="159" applyNumberFormat="0" applyFont="0" applyAlignment="0" applyProtection="0"/>
    <xf numFmtId="168" fontId="10" fillId="5" borderId="158" applyNumberFormat="0" applyFont="0" applyAlignment="0" applyProtection="0"/>
    <xf numFmtId="168" fontId="10" fillId="5" borderId="160" applyNumberFormat="0" applyFont="0" applyAlignment="0" applyProtection="0"/>
    <xf numFmtId="168" fontId="10" fillId="5" borderId="158" applyNumberFormat="0" applyFont="0" applyAlignment="0" applyProtection="0"/>
    <xf numFmtId="168" fontId="10" fillId="5" borderId="158" applyNumberFormat="0" applyFont="0" applyAlignment="0" applyProtection="0"/>
    <xf numFmtId="168" fontId="10" fillId="5" borderId="158" applyNumberFormat="0" applyFont="0" applyAlignment="0" applyProtection="0"/>
    <xf numFmtId="168" fontId="10" fillId="5" borderId="158" applyNumberFormat="0" applyFont="0" applyAlignment="0" applyProtection="0"/>
    <xf numFmtId="168" fontId="10" fillId="5" borderId="159" applyNumberFormat="0" applyFont="0" applyAlignment="0" applyProtection="0"/>
    <xf numFmtId="168" fontId="10" fillId="5" borderId="158" applyNumberFormat="0" applyFont="0" applyAlignment="0" applyProtection="0"/>
    <xf numFmtId="168" fontId="10" fillId="5" borderId="158"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6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6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6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6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68" fontId="10" fillId="5" borderId="16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60"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60"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60"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60"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1"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1"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61"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61"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61"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1"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1"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cellStyleXfs>
  <cellXfs count="1018">
    <xf numFmtId="0" fontId="0" fillId="0" borderId="0" xfId="0"/>
    <xf numFmtId="0" fontId="27" fillId="0" borderId="23" xfId="37" applyFont="1" applyBorder="1" applyAlignment="1">
      <alignment horizontal="center" vertical="center" wrapText="1"/>
    </xf>
    <xf numFmtId="0" fontId="27" fillId="0" borderId="24" xfId="37" applyFont="1" applyBorder="1" applyAlignment="1">
      <alignment horizontal="center" vertical="center" wrapText="1"/>
    </xf>
    <xf numFmtId="0" fontId="31" fillId="0" borderId="23" xfId="37" applyFont="1" applyBorder="1" applyAlignment="1">
      <alignment horizontal="center" vertical="center" wrapText="1"/>
    </xf>
    <xf numFmtId="0" fontId="31" fillId="0" borderId="39" xfId="37" applyFont="1" applyBorder="1" applyAlignment="1">
      <alignment horizontal="center" vertical="center" wrapText="1"/>
    </xf>
    <xf numFmtId="0" fontId="27" fillId="0" borderId="42" xfId="37" applyFont="1" applyBorder="1" applyAlignment="1">
      <alignment horizontal="center" vertical="center" wrapText="1"/>
    </xf>
    <xf numFmtId="0" fontId="21" fillId="0" borderId="0" xfId="0" applyFont="1"/>
    <xf numFmtId="0" fontId="59" fillId="0" borderId="0" xfId="0" applyFont="1" applyAlignment="1">
      <alignment horizontal="center"/>
    </xf>
    <xf numFmtId="0" fontId="10" fillId="0" borderId="0" xfId="0" applyFont="1"/>
    <xf numFmtId="0" fontId="60" fillId="7" borderId="43" xfId="0" applyFont="1" applyFill="1" applyBorder="1" applyAlignment="1">
      <alignment horizontal="left" vertical="center" wrapText="1"/>
    </xf>
    <xf numFmtId="0" fontId="61" fillId="8" borderId="43" xfId="0" applyFont="1" applyFill="1" applyBorder="1" applyAlignment="1" applyProtection="1">
      <alignment horizontal="center" vertical="center"/>
      <protection locked="0"/>
    </xf>
    <xf numFmtId="0" fontId="60" fillId="0" borderId="0" xfId="0" applyFont="1" applyAlignment="1">
      <alignment horizontal="left" vertical="center"/>
    </xf>
    <xf numFmtId="0" fontId="10" fillId="0" borderId="0" xfId="0" applyFont="1" applyAlignment="1">
      <alignment vertical="top"/>
    </xf>
    <xf numFmtId="0" fontId="62" fillId="0" borderId="44" xfId="0" applyFont="1" applyBorder="1"/>
    <xf numFmtId="0" fontId="10" fillId="0" borderId="0" xfId="0" applyFont="1" applyAlignment="1">
      <alignment horizontal="center"/>
    </xf>
    <xf numFmtId="0" fontId="63" fillId="0" borderId="0" xfId="0" applyFont="1" applyAlignment="1">
      <alignment horizontal="left"/>
    </xf>
    <xf numFmtId="0" fontId="0" fillId="4" borderId="0" xfId="0" applyFill="1"/>
    <xf numFmtId="0" fontId="65" fillId="4" borderId="0" xfId="0" applyFont="1" applyFill="1" applyAlignment="1">
      <alignment horizontal="left" vertical="center" wrapText="1"/>
    </xf>
    <xf numFmtId="0" fontId="34" fillId="0" borderId="0" xfId="37" applyFont="1" applyAlignment="1">
      <alignment vertical="center"/>
    </xf>
    <xf numFmtId="0" fontId="0" fillId="0" borderId="0" xfId="0" applyAlignment="1">
      <alignment horizontal="center" vertical="center"/>
    </xf>
    <xf numFmtId="0" fontId="24" fillId="9" borderId="20" xfId="37" applyFont="1" applyFill="1" applyBorder="1" applyAlignment="1">
      <alignment horizontal="center" vertical="center" wrapText="1"/>
    </xf>
    <xf numFmtId="0" fontId="24" fillId="9" borderId="21" xfId="37" applyFont="1" applyFill="1" applyBorder="1" applyAlignment="1">
      <alignment horizontal="center" vertical="center" wrapText="1"/>
    </xf>
    <xf numFmtId="0" fontId="24" fillId="9" borderId="22" xfId="37" applyFont="1" applyFill="1" applyBorder="1" applyAlignment="1">
      <alignment horizontal="center" vertical="center" wrapText="1"/>
    </xf>
    <xf numFmtId="0" fontId="24" fillId="9" borderId="19" xfId="37" applyFont="1" applyFill="1" applyBorder="1" applyAlignment="1">
      <alignment horizontal="center" vertical="center" wrapText="1"/>
    </xf>
    <xf numFmtId="0" fontId="0" fillId="2" borderId="13" xfId="0" applyFill="1" applyBorder="1" applyAlignment="1">
      <alignment horizontal="center" vertical="center"/>
    </xf>
    <xf numFmtId="0" fontId="25" fillId="2" borderId="4" xfId="37" applyFont="1" applyFill="1" applyBorder="1" applyAlignment="1">
      <alignment vertical="center" wrapText="1"/>
    </xf>
    <xf numFmtId="0" fontId="11" fillId="2" borderId="14" xfId="37" applyFont="1" applyFill="1" applyBorder="1" applyAlignment="1">
      <alignment horizontal="center" vertical="center" wrapText="1"/>
    </xf>
    <xf numFmtId="0" fontId="49" fillId="0" borderId="0" xfId="0" applyFont="1" applyAlignment="1">
      <alignment horizontal="center" vertical="center"/>
    </xf>
    <xf numFmtId="0" fontId="2" fillId="4" borderId="0" xfId="0" applyFont="1" applyFill="1"/>
    <xf numFmtId="0" fontId="2" fillId="4" borderId="0" xfId="0" applyFont="1" applyFill="1" applyAlignment="1">
      <alignment vertical="center"/>
    </xf>
    <xf numFmtId="0" fontId="69" fillId="4" borderId="0" xfId="0" applyFont="1" applyFill="1" applyAlignment="1">
      <alignment horizontal="center" vertical="center"/>
    </xf>
    <xf numFmtId="0" fontId="2" fillId="0" borderId="0" xfId="0" applyFont="1"/>
    <xf numFmtId="0" fontId="35" fillId="4" borderId="0" xfId="0" applyFont="1" applyFill="1" applyAlignment="1">
      <alignment vertical="center"/>
    </xf>
    <xf numFmtId="0" fontId="11" fillId="2" borderId="17" xfId="37" applyFont="1" applyFill="1" applyBorder="1" applyAlignment="1">
      <alignment horizontal="center" vertical="center" wrapText="1"/>
    </xf>
    <xf numFmtId="0" fontId="11" fillId="2" borderId="18" xfId="37" applyFont="1" applyFill="1" applyBorder="1" applyAlignment="1">
      <alignment vertical="center" wrapText="1"/>
    </xf>
    <xf numFmtId="0" fontId="11" fillId="2" borderId="16" xfId="36" applyFont="1" applyFill="1" applyBorder="1" applyAlignment="1">
      <alignment horizontal="center" vertical="center" wrapText="1"/>
    </xf>
    <xf numFmtId="0" fontId="29" fillId="2" borderId="4" xfId="36" applyFont="1" applyFill="1" applyBorder="1" applyAlignment="1">
      <alignment vertical="center" wrapText="1"/>
    </xf>
    <xf numFmtId="0" fontId="4" fillId="0" borderId="0" xfId="0" applyFont="1" applyAlignment="1">
      <alignment horizontal="center" vertical="center"/>
    </xf>
    <xf numFmtId="0" fontId="11" fillId="0" borderId="0" xfId="0" applyFont="1" applyAlignment="1">
      <alignment horizontal="center" vertical="center"/>
    </xf>
    <xf numFmtId="0" fontId="0" fillId="2" borderId="17" xfId="0" applyFill="1" applyBorder="1" applyAlignment="1">
      <alignment horizontal="center" vertical="center" wrapText="1"/>
    </xf>
    <xf numFmtId="0" fontId="25" fillId="2" borderId="18" xfId="37" applyFont="1" applyFill="1" applyBorder="1" applyAlignment="1">
      <alignment vertical="center" wrapText="1"/>
    </xf>
    <xf numFmtId="0" fontId="0" fillId="0" borderId="0" xfId="0" applyAlignment="1">
      <alignment horizontal="center" vertical="center" wrapText="1"/>
    </xf>
    <xf numFmtId="0" fontId="0" fillId="0" borderId="0" xfId="0" applyAlignment="1">
      <alignment wrapText="1"/>
    </xf>
    <xf numFmtId="0" fontId="25" fillId="2" borderId="2" xfId="37" applyFont="1" applyFill="1" applyBorder="1" applyAlignment="1">
      <alignment vertical="center" wrapText="1"/>
    </xf>
    <xf numFmtId="0" fontId="70" fillId="4" borderId="0" xfId="0" applyFont="1" applyFill="1" applyAlignment="1">
      <alignment horizontal="center" vertical="center"/>
    </xf>
    <xf numFmtId="0" fontId="29" fillId="12" borderId="17" xfId="36" applyFont="1" applyFill="1" applyBorder="1" applyAlignment="1">
      <alignment horizontal="center" vertical="center" wrapText="1"/>
    </xf>
    <xf numFmtId="0" fontId="29" fillId="12" borderId="18" xfId="36" applyFont="1" applyFill="1" applyBorder="1" applyAlignment="1">
      <alignment vertical="center" wrapText="1"/>
    </xf>
    <xf numFmtId="0" fontId="25" fillId="2" borderId="17" xfId="37" applyFont="1" applyFill="1" applyBorder="1" applyAlignment="1">
      <alignment horizontal="center" vertical="center" wrapText="1"/>
    </xf>
    <xf numFmtId="0" fontId="23" fillId="2" borderId="17" xfId="36" applyFont="1" applyFill="1" applyBorder="1" applyAlignment="1">
      <alignment horizontal="center" vertical="center" wrapText="1"/>
    </xf>
    <xf numFmtId="0" fontId="0" fillId="2" borderId="18" xfId="0" applyFill="1" applyBorder="1" applyAlignment="1">
      <alignment vertical="center" wrapText="1"/>
    </xf>
    <xf numFmtId="0" fontId="0" fillId="0" borderId="0" xfId="0" applyAlignment="1">
      <alignment vertical="center"/>
    </xf>
    <xf numFmtId="0" fontId="29" fillId="12" borderId="4" xfId="36" applyFont="1" applyFill="1" applyBorder="1" applyAlignment="1">
      <alignment vertical="center" wrapText="1"/>
    </xf>
    <xf numFmtId="0" fontId="25" fillId="2" borderId="17" xfId="37" applyFont="1" applyFill="1" applyBorder="1" applyAlignment="1">
      <alignment horizontal="center" vertical="center"/>
    </xf>
    <xf numFmtId="0" fontId="0" fillId="4" borderId="0" xfId="0" applyFill="1" applyAlignment="1">
      <alignment horizontal="center" vertical="center"/>
    </xf>
    <xf numFmtId="0" fontId="42" fillId="0" borderId="0" xfId="0" applyFont="1"/>
    <xf numFmtId="0" fontId="14" fillId="0" borderId="0" xfId="0" applyFont="1" applyAlignment="1">
      <alignment vertical="center"/>
    </xf>
    <xf numFmtId="0" fontId="0" fillId="0" borderId="7" xfId="0" applyBorder="1" applyAlignment="1">
      <alignment horizontal="right"/>
    </xf>
    <xf numFmtId="0" fontId="0" fillId="0" borderId="4" xfId="0" applyBorder="1" applyAlignment="1">
      <alignment horizontal="right"/>
    </xf>
    <xf numFmtId="0" fontId="51" fillId="0" borderId="7" xfId="36" applyFont="1" applyBorder="1" applyAlignment="1">
      <alignment horizontal="right" vertical="center"/>
    </xf>
    <xf numFmtId="0" fontId="51" fillId="0" borderId="4" xfId="36" applyFont="1" applyBorder="1" applyAlignment="1">
      <alignment horizontal="right" vertical="center"/>
    </xf>
    <xf numFmtId="0" fontId="33" fillId="0" borderId="0" xfId="36" applyFont="1"/>
    <xf numFmtId="0" fontId="22" fillId="0" borderId="0" xfId="36"/>
    <xf numFmtId="0" fontId="51" fillId="0" borderId="4" xfId="36" applyFont="1" applyBorder="1" applyAlignment="1">
      <alignment horizontal="right"/>
    </xf>
    <xf numFmtId="0" fontId="0" fillId="2" borderId="17" xfId="0" applyFill="1" applyBorder="1" applyAlignment="1">
      <alignment horizontal="center" vertical="center"/>
    </xf>
    <xf numFmtId="0" fontId="4" fillId="4" borderId="0" xfId="0" applyFont="1" applyFill="1" applyAlignment="1">
      <alignment horizontal="center" vertical="center"/>
    </xf>
    <xf numFmtId="0" fontId="25" fillId="4" borderId="0" xfId="37" applyFont="1" applyFill="1" applyAlignment="1">
      <alignment vertical="center" wrapText="1"/>
    </xf>
    <xf numFmtId="0" fontId="11" fillId="4" borderId="0" xfId="37" applyFont="1" applyFill="1" applyAlignment="1">
      <alignment horizontal="center" vertical="center" wrapText="1"/>
    </xf>
    <xf numFmtId="170" fontId="23" fillId="4" borderId="0" xfId="30" applyNumberFormat="1" applyFont="1" applyFill="1" applyBorder="1" applyAlignment="1" applyProtection="1">
      <alignment horizontal="right" vertical="center" wrapText="1"/>
    </xf>
    <xf numFmtId="0" fontId="27" fillId="4" borderId="0" xfId="37" applyFont="1" applyFill="1" applyAlignment="1">
      <alignment horizontal="center" vertical="center" wrapText="1"/>
    </xf>
    <xf numFmtId="0" fontId="68" fillId="4" borderId="0" xfId="36" applyFont="1" applyFill="1" applyAlignment="1">
      <alignment horizontal="center" vertical="center" wrapText="1"/>
    </xf>
    <xf numFmtId="0" fontId="11" fillId="2" borderId="17" xfId="36" applyFont="1" applyFill="1" applyBorder="1" applyAlignment="1">
      <alignment horizontal="center" vertical="center" wrapText="1"/>
    </xf>
    <xf numFmtId="0" fontId="11" fillId="2" borderId="18" xfId="36" applyFont="1" applyFill="1" applyBorder="1" applyAlignment="1">
      <alignment vertical="center" wrapText="1"/>
    </xf>
    <xf numFmtId="0" fontId="24" fillId="4" borderId="0" xfId="37" applyFont="1" applyFill="1" applyAlignment="1">
      <alignment horizontal="center" vertical="center" wrapText="1"/>
    </xf>
    <xf numFmtId="0" fontId="24" fillId="4" borderId="0" xfId="37" applyFont="1" applyFill="1" applyAlignment="1">
      <alignment vertical="center" wrapText="1"/>
    </xf>
    <xf numFmtId="0" fontId="26" fillId="4" borderId="0" xfId="37" applyFont="1" applyFill="1" applyAlignment="1">
      <alignment horizontal="center" vertical="center" wrapText="1"/>
    </xf>
    <xf numFmtId="2" fontId="26" fillId="4" borderId="0" xfId="37" applyNumberFormat="1" applyFont="1" applyFill="1" applyAlignment="1">
      <alignment horizontal="right" vertical="center" wrapText="1"/>
    </xf>
    <xf numFmtId="0" fontId="31" fillId="4" borderId="0" xfId="37" applyFont="1" applyFill="1" applyAlignment="1">
      <alignment horizontal="center" vertical="center" wrapText="1"/>
    </xf>
    <xf numFmtId="0" fontId="69" fillId="4" borderId="0" xfId="37" applyFont="1" applyFill="1" applyAlignment="1">
      <alignment horizontal="center" vertical="center" wrapText="1"/>
    </xf>
    <xf numFmtId="0" fontId="31" fillId="4" borderId="0" xfId="37" applyFont="1" applyFill="1" applyAlignment="1">
      <alignment vertical="center" wrapText="1"/>
    </xf>
    <xf numFmtId="0" fontId="11" fillId="0" borderId="0" xfId="37" applyFont="1" applyAlignment="1">
      <alignment horizontal="center" vertical="center" wrapText="1"/>
    </xf>
    <xf numFmtId="0" fontId="69" fillId="4" borderId="0" xfId="37" applyFont="1" applyFill="1" applyAlignment="1">
      <alignment vertical="center" wrapText="1"/>
    </xf>
    <xf numFmtId="0" fontId="11" fillId="0" borderId="0" xfId="37" applyFont="1" applyAlignment="1">
      <alignment horizontal="left" vertical="center" wrapText="1"/>
    </xf>
    <xf numFmtId="0" fontId="50" fillId="0" borderId="0" xfId="0" applyFont="1"/>
    <xf numFmtId="0" fontId="23" fillId="2" borderId="54" xfId="36" applyFont="1" applyFill="1" applyBorder="1" applyAlignment="1">
      <alignment horizontal="center" vertical="center" wrapText="1"/>
    </xf>
    <xf numFmtId="0" fontId="29" fillId="12" borderId="54" xfId="36" applyFont="1" applyFill="1" applyBorder="1" applyAlignment="1">
      <alignment horizontal="center" vertical="center" wrapText="1"/>
    </xf>
    <xf numFmtId="0" fontId="29" fillId="12" borderId="45" xfId="36" applyFont="1" applyFill="1" applyBorder="1" applyAlignment="1">
      <alignment vertical="center" wrapText="1"/>
    </xf>
    <xf numFmtId="0" fontId="11" fillId="2" borderId="45" xfId="37" applyFont="1" applyFill="1" applyBorder="1" applyAlignment="1">
      <alignment vertical="center" wrapText="1"/>
    </xf>
    <xf numFmtId="0" fontId="23" fillId="2" borderId="55" xfId="36" applyFont="1" applyFill="1" applyBorder="1" applyAlignment="1">
      <alignment horizontal="center" vertical="center" wrapText="1"/>
    </xf>
    <xf numFmtId="0" fontId="11" fillId="2" borderId="56" xfId="37" applyFont="1" applyFill="1" applyBorder="1" applyAlignment="1">
      <alignment vertical="center" wrapText="1"/>
    </xf>
    <xf numFmtId="0" fontId="75" fillId="2" borderId="45" xfId="69" applyFont="1" applyFill="1" applyBorder="1"/>
    <xf numFmtId="0" fontId="74" fillId="0" borderId="0" xfId="69"/>
    <xf numFmtId="0" fontId="75" fillId="2" borderId="45" xfId="69" applyFont="1" applyFill="1" applyBorder="1" applyAlignment="1">
      <alignment wrapText="1"/>
    </xf>
    <xf numFmtId="0" fontId="74" fillId="0" borderId="45" xfId="69" applyBorder="1"/>
    <xf numFmtId="0" fontId="11" fillId="4" borderId="0" xfId="0" applyFont="1" applyFill="1"/>
    <xf numFmtId="0" fontId="72" fillId="4" borderId="0" xfId="37" applyFont="1" applyFill="1" applyAlignment="1">
      <alignment horizontal="center" vertical="center" wrapText="1"/>
    </xf>
    <xf numFmtId="0" fontId="23" fillId="0" borderId="0" xfId="36" applyFont="1" applyAlignment="1">
      <alignment horizontal="center" vertical="center" wrapText="1"/>
    </xf>
    <xf numFmtId="0" fontId="23" fillId="2" borderId="17" xfId="0" applyFont="1" applyFill="1" applyBorder="1" applyAlignment="1">
      <alignment horizontal="center" vertical="center"/>
    </xf>
    <xf numFmtId="0" fontId="68" fillId="4" borderId="0" xfId="37" applyFont="1" applyFill="1" applyAlignment="1">
      <alignment horizontal="center" vertical="center" wrapText="1"/>
    </xf>
    <xf numFmtId="0" fontId="23" fillId="2" borderId="17" xfId="0" applyFont="1" applyFill="1" applyBorder="1" applyAlignment="1">
      <alignment horizontal="center" vertical="center" wrapText="1"/>
    </xf>
    <xf numFmtId="0" fontId="68" fillId="4" borderId="0" xfId="37" applyFont="1" applyFill="1" applyAlignment="1">
      <alignment vertical="center" wrapText="1"/>
    </xf>
    <xf numFmtId="0" fontId="0" fillId="0" borderId="38" xfId="0" applyBorder="1" applyAlignment="1">
      <alignment horizontal="right"/>
    </xf>
    <xf numFmtId="0" fontId="0" fillId="0" borderId="2" xfId="0" applyBorder="1" applyAlignment="1">
      <alignment horizontal="right"/>
    </xf>
    <xf numFmtId="0" fontId="0" fillId="0" borderId="0" xfId="0" quotePrefix="1"/>
    <xf numFmtId="0" fontId="26" fillId="2" borderId="45" xfId="37" applyFont="1" applyFill="1" applyBorder="1" applyAlignment="1">
      <alignment vertical="center" wrapText="1"/>
    </xf>
    <xf numFmtId="0" fontId="29" fillId="2" borderId="45" xfId="36" applyFont="1" applyFill="1" applyBorder="1" applyAlignment="1">
      <alignment vertical="center" wrapText="1"/>
    </xf>
    <xf numFmtId="0" fontId="25" fillId="2" borderId="45" xfId="37" applyFont="1" applyFill="1" applyBorder="1" applyAlignment="1">
      <alignment vertical="center" wrapText="1"/>
    </xf>
    <xf numFmtId="0" fontId="28" fillId="2" borderId="45" xfId="37" applyFont="1" applyFill="1" applyBorder="1" applyAlignment="1">
      <alignment horizontal="left" vertical="center" wrapText="1" indent="2"/>
    </xf>
    <xf numFmtId="0" fontId="28" fillId="2" borderId="45" xfId="37" applyFont="1" applyFill="1" applyBorder="1" applyAlignment="1">
      <alignment horizontal="left" vertical="center" wrapText="1"/>
    </xf>
    <xf numFmtId="0" fontId="25" fillId="2" borderId="45" xfId="37" applyFont="1" applyFill="1" applyBorder="1" applyAlignment="1">
      <alignment horizontal="left" vertical="center" wrapText="1"/>
    </xf>
    <xf numFmtId="0" fontId="24" fillId="2" borderId="45" xfId="37" applyFont="1" applyFill="1" applyBorder="1" applyAlignment="1">
      <alignment vertical="center" wrapText="1"/>
    </xf>
    <xf numFmtId="0" fontId="0" fillId="2" borderId="45" xfId="0" applyFill="1" applyBorder="1" applyAlignment="1">
      <alignment vertical="center" wrapText="1"/>
    </xf>
    <xf numFmtId="0" fontId="0" fillId="2" borderId="45" xfId="0" applyFill="1" applyBorder="1" applyAlignment="1">
      <alignment horizontal="left" vertical="center" wrapText="1"/>
    </xf>
    <xf numFmtId="0" fontId="1" fillId="2" borderId="45" xfId="0" applyFont="1" applyFill="1" applyBorder="1" applyAlignment="1">
      <alignment horizontal="left" vertical="center" wrapText="1" indent="2"/>
    </xf>
    <xf numFmtId="0" fontId="41" fillId="2" borderId="45" xfId="40" quotePrefix="1" applyFont="1" applyFill="1" applyBorder="1" applyAlignment="1">
      <alignment horizontal="left" vertical="center" wrapText="1" indent="4"/>
    </xf>
    <xf numFmtId="0" fontId="41" fillId="2" borderId="45" xfId="37" applyFont="1" applyFill="1" applyBorder="1" applyAlignment="1">
      <alignment horizontal="left" vertical="center" wrapText="1" indent="2"/>
    </xf>
    <xf numFmtId="0" fontId="25" fillId="12" borderId="45" xfId="37" applyFont="1" applyFill="1" applyBorder="1" applyAlignment="1">
      <alignment vertical="center" wrapText="1"/>
    </xf>
    <xf numFmtId="0" fontId="28" fillId="12" borderId="45" xfId="37" applyFont="1" applyFill="1" applyBorder="1" applyAlignment="1">
      <alignment horizontal="left" vertical="center" wrapText="1" indent="2"/>
    </xf>
    <xf numFmtId="0" fontId="28" fillId="2" borderId="45" xfId="37" applyFont="1" applyFill="1" applyBorder="1" applyAlignment="1">
      <alignment horizontal="left" vertical="center" wrapText="1" indent="3"/>
    </xf>
    <xf numFmtId="0" fontId="28" fillId="2" borderId="45" xfId="37" quotePrefix="1" applyFont="1" applyFill="1" applyBorder="1" applyAlignment="1">
      <alignment horizontal="left" vertical="center" wrapText="1" indent="4"/>
    </xf>
    <xf numFmtId="0" fontId="11" fillId="2" borderId="45" xfId="36" applyFont="1" applyFill="1" applyBorder="1" applyAlignment="1">
      <alignment vertical="center" wrapText="1"/>
    </xf>
    <xf numFmtId="0" fontId="24" fillId="12" borderId="45" xfId="37" applyFont="1" applyFill="1" applyBorder="1" applyAlignment="1">
      <alignment vertical="center" wrapText="1"/>
    </xf>
    <xf numFmtId="0" fontId="11" fillId="2" borderId="45" xfId="40" applyFont="1" applyFill="1" applyBorder="1" applyAlignment="1">
      <alignment horizontal="left" vertical="center" wrapText="1"/>
    </xf>
    <xf numFmtId="0" fontId="41" fillId="2" borderId="45" xfId="40" applyFont="1" applyFill="1" applyBorder="1" applyAlignment="1">
      <alignment horizontal="left" vertical="center" wrapText="1" indent="2"/>
    </xf>
    <xf numFmtId="0" fontId="26" fillId="2" borderId="45" xfId="40" applyFont="1" applyFill="1" applyBorder="1" applyAlignment="1">
      <alignment vertical="center" wrapText="1"/>
    </xf>
    <xf numFmtId="0" fontId="11" fillId="2" borderId="45" xfId="40" applyFont="1" applyFill="1" applyBorder="1" applyAlignment="1">
      <alignment vertical="center" wrapText="1"/>
    </xf>
    <xf numFmtId="0" fontId="41" fillId="2" borderId="45" xfId="40" applyFont="1" applyFill="1" applyBorder="1" applyAlignment="1">
      <alignment horizontal="left" vertical="center" wrapText="1"/>
    </xf>
    <xf numFmtId="0" fontId="41" fillId="2" borderId="45" xfId="37" applyFont="1" applyFill="1" applyBorder="1" applyAlignment="1">
      <alignment horizontal="left" vertical="center" wrapText="1"/>
    </xf>
    <xf numFmtId="0" fontId="4" fillId="2" borderId="45" xfId="0" applyFont="1" applyFill="1" applyBorder="1" applyAlignment="1">
      <alignment vertical="center" wrapText="1"/>
    </xf>
    <xf numFmtId="0" fontId="41" fillId="2" borderId="45" xfId="40" applyFont="1" applyFill="1" applyBorder="1" applyAlignment="1">
      <alignment horizontal="left" vertical="center" wrapText="1" indent="4"/>
    </xf>
    <xf numFmtId="0" fontId="2" fillId="2" borderId="45" xfId="0" applyFont="1" applyFill="1" applyBorder="1" applyAlignment="1">
      <alignment vertical="center" wrapText="1"/>
    </xf>
    <xf numFmtId="0" fontId="24" fillId="2" borderId="45" xfId="37" applyFont="1" applyFill="1" applyBorder="1" applyAlignment="1">
      <alignment horizontal="left" vertical="center" wrapText="1"/>
    </xf>
    <xf numFmtId="0" fontId="45" fillId="2" borderId="45" xfId="38" applyFont="1" applyFill="1" applyBorder="1" applyAlignment="1">
      <alignment horizontal="left" vertical="center" wrapText="1"/>
    </xf>
    <xf numFmtId="0" fontId="46" fillId="2" borderId="45" xfId="38" applyFont="1" applyFill="1" applyBorder="1" applyAlignment="1">
      <alignment horizontal="left" vertical="center" wrapText="1"/>
    </xf>
    <xf numFmtId="0" fontId="46" fillId="2" borderId="45" xfId="38" applyFont="1" applyFill="1" applyBorder="1" applyAlignment="1">
      <alignment horizontal="left" vertical="center" wrapText="1" indent="2"/>
    </xf>
    <xf numFmtId="0" fontId="11" fillId="2" borderId="45" xfId="0" applyFont="1" applyFill="1" applyBorder="1" applyAlignment="1">
      <alignment vertical="center" wrapText="1"/>
    </xf>
    <xf numFmtId="3" fontId="20" fillId="10" borderId="54" xfId="39" applyNumberFormat="1" applyFont="1" applyFill="1" applyBorder="1" applyAlignment="1" applyProtection="1">
      <alignment vertical="center" wrapText="1"/>
    </xf>
    <xf numFmtId="0" fontId="31" fillId="4" borderId="0" xfId="0" applyFont="1" applyFill="1" applyAlignment="1">
      <alignment horizontal="center" vertical="center"/>
    </xf>
    <xf numFmtId="0" fontId="0" fillId="2" borderId="54" xfId="0" applyFill="1" applyBorder="1" applyAlignment="1">
      <alignment horizontal="center" vertical="center"/>
    </xf>
    <xf numFmtId="0" fontId="26" fillId="2" borderId="47" xfId="37" applyFont="1" applyFill="1" applyBorder="1" applyAlignment="1">
      <alignment horizontal="center" vertical="center" wrapText="1"/>
    </xf>
    <xf numFmtId="0" fontId="11" fillId="2" borderId="47" xfId="37"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54" xfId="37" applyFont="1" applyFill="1" applyBorder="1" applyAlignment="1">
      <alignment horizontal="center" vertical="center" wrapText="1"/>
    </xf>
    <xf numFmtId="0" fontId="26" fillId="2" borderId="54" xfId="37" applyFont="1" applyFill="1" applyBorder="1" applyAlignment="1">
      <alignment horizontal="center" vertical="center" wrapText="1"/>
    </xf>
    <xf numFmtId="0" fontId="29" fillId="2" borderId="54" xfId="36" applyFont="1" applyFill="1" applyBorder="1" applyAlignment="1">
      <alignment horizontal="center" vertical="center" wrapText="1"/>
    </xf>
    <xf numFmtId="0" fontId="0" fillId="2" borderId="54" xfId="0" applyFill="1" applyBorder="1" applyAlignment="1">
      <alignment horizontal="center" vertical="center" wrapText="1"/>
    </xf>
    <xf numFmtId="0" fontId="25" fillId="2" borderId="54" xfId="37" applyFont="1" applyFill="1" applyBorder="1" applyAlignment="1">
      <alignment horizontal="center" vertical="center" wrapText="1"/>
    </xf>
    <xf numFmtId="0" fontId="24" fillId="2" borderId="54" xfId="37" applyFont="1" applyFill="1" applyBorder="1" applyAlignment="1">
      <alignment horizontal="center" vertical="center" wrapText="1"/>
    </xf>
    <xf numFmtId="0" fontId="24" fillId="2" borderId="55" xfId="37" applyFont="1" applyFill="1" applyBorder="1" applyAlignment="1">
      <alignment horizontal="center" vertical="center" wrapText="1"/>
    </xf>
    <xf numFmtId="0" fontId="26" fillId="2" borderId="56" xfId="37" applyFont="1" applyFill="1" applyBorder="1" applyAlignment="1">
      <alignment vertical="center" wrapText="1"/>
    </xf>
    <xf numFmtId="0" fontId="25" fillId="2" borderId="58" xfId="37" applyFont="1" applyFill="1" applyBorder="1" applyAlignment="1">
      <alignment horizontal="center" vertical="center" wrapText="1"/>
    </xf>
    <xf numFmtId="0" fontId="24" fillId="2" borderId="56" xfId="37" applyFont="1" applyFill="1" applyBorder="1" applyAlignment="1">
      <alignment vertical="center" wrapText="1"/>
    </xf>
    <xf numFmtId="0" fontId="11" fillId="2" borderId="45" xfId="0" applyFont="1" applyFill="1" applyBorder="1" applyAlignment="1">
      <alignment horizontal="left" vertical="center" wrapText="1"/>
    </xf>
    <xf numFmtId="0" fontId="41" fillId="2" borderId="45" xfId="0" applyFont="1" applyFill="1" applyBorder="1" applyAlignment="1">
      <alignment horizontal="left" vertical="center" wrapText="1" indent="2"/>
    </xf>
    <xf numFmtId="0" fontId="25" fillId="2" borderId="54" xfId="37" applyFont="1" applyFill="1" applyBorder="1" applyAlignment="1">
      <alignment horizontal="center" vertical="center"/>
    </xf>
    <xf numFmtId="0" fontId="24" fillId="2" borderId="54" xfId="37" applyFont="1" applyFill="1" applyBorder="1" applyAlignment="1">
      <alignment horizontal="center" vertical="center"/>
    </xf>
    <xf numFmtId="0" fontId="11" fillId="2" borderId="54" xfId="37" applyFont="1" applyFill="1" applyBorder="1" applyAlignment="1">
      <alignment horizontal="center" vertical="center"/>
    </xf>
    <xf numFmtId="0" fontId="24" fillId="2" borderId="55" xfId="37" applyFont="1" applyFill="1" applyBorder="1" applyAlignment="1">
      <alignment horizontal="center" vertical="center"/>
    </xf>
    <xf numFmtId="0" fontId="25" fillId="12" borderId="54" xfId="37" applyFont="1" applyFill="1" applyBorder="1" applyAlignment="1">
      <alignment horizontal="center" vertical="center" wrapText="1"/>
    </xf>
    <xf numFmtId="0" fontId="28" fillId="12" borderId="45" xfId="37" applyFont="1" applyFill="1" applyBorder="1" applyAlignment="1">
      <alignment horizontal="left" vertical="center" wrapText="1" indent="3"/>
    </xf>
    <xf numFmtId="0" fontId="25" fillId="2" borderId="55" xfId="37" applyFont="1" applyFill="1" applyBorder="1" applyAlignment="1">
      <alignment horizontal="center" vertical="center" wrapText="1"/>
    </xf>
    <xf numFmtId="0" fontId="28" fillId="2" borderId="56" xfId="37" applyFont="1" applyFill="1" applyBorder="1" applyAlignment="1">
      <alignment horizontal="left" vertical="center" wrapText="1" indent="3"/>
    </xf>
    <xf numFmtId="0" fontId="0" fillId="2" borderId="56" xfId="0" applyFill="1" applyBorder="1" applyAlignment="1">
      <alignment vertical="center" wrapText="1"/>
    </xf>
    <xf numFmtId="0" fontId="0" fillId="0" borderId="46" xfId="0" applyBorder="1" applyAlignment="1">
      <alignment horizontal="right"/>
    </xf>
    <xf numFmtId="0" fontId="51" fillId="0" borderId="46" xfId="36" applyFont="1" applyBorder="1" applyAlignment="1">
      <alignment horizontal="right" vertical="center"/>
    </xf>
    <xf numFmtId="0" fontId="51" fillId="0" borderId="46" xfId="36" applyFont="1" applyBorder="1"/>
    <xf numFmtId="0" fontId="11" fillId="2" borderId="54" xfId="0" applyFont="1" applyFill="1" applyBorder="1" applyAlignment="1">
      <alignment horizontal="center" vertical="center" wrapText="1"/>
    </xf>
    <xf numFmtId="0" fontId="0" fillId="2" borderId="55" xfId="0" applyFill="1" applyBorder="1" applyAlignment="1">
      <alignment horizontal="center" vertical="center"/>
    </xf>
    <xf numFmtId="0" fontId="0" fillId="2" borderId="56" xfId="0" applyFill="1" applyBorder="1" applyAlignment="1">
      <alignment horizontal="left" vertical="center" wrapText="1"/>
    </xf>
    <xf numFmtId="0" fontId="23" fillId="2" borderId="54" xfId="0" applyFont="1" applyFill="1" applyBorder="1" applyAlignment="1">
      <alignment horizontal="center" vertical="center"/>
    </xf>
    <xf numFmtId="0" fontId="41" fillId="2" borderId="56" xfId="40" applyFont="1" applyFill="1" applyBorder="1" applyAlignment="1">
      <alignment horizontal="left" vertical="center" wrapText="1" indent="2"/>
    </xf>
    <xf numFmtId="0" fontId="23" fillId="2" borderId="54" xfId="0" applyFont="1" applyFill="1" applyBorder="1" applyAlignment="1">
      <alignment horizontal="center" vertical="center" wrapText="1"/>
    </xf>
    <xf numFmtId="0" fontId="4" fillId="2" borderId="54" xfId="0" applyFont="1" applyFill="1" applyBorder="1" applyAlignment="1">
      <alignment horizontal="center" vertical="center"/>
    </xf>
    <xf numFmtId="49" fontId="11" fillId="8" borderId="41" xfId="36" applyNumberFormat="1" applyFont="1" applyFill="1" applyBorder="1" applyAlignment="1" applyProtection="1">
      <alignment horizontal="right" vertical="center" wrapText="1"/>
      <protection locked="0"/>
    </xf>
    <xf numFmtId="0" fontId="7" fillId="2" borderId="47" xfId="0" applyFont="1" applyFill="1" applyBorder="1" applyAlignment="1">
      <alignment horizontal="center" vertical="center"/>
    </xf>
    <xf numFmtId="0" fontId="7" fillId="2" borderId="57" xfId="0" applyFont="1" applyFill="1" applyBorder="1" applyAlignment="1">
      <alignment horizontal="center" vertical="center"/>
    </xf>
    <xf numFmtId="0" fontId="23" fillId="2" borderId="55" xfId="0" applyFont="1" applyFill="1" applyBorder="1" applyAlignment="1">
      <alignment horizontal="center" vertical="center"/>
    </xf>
    <xf numFmtId="0" fontId="1" fillId="2" borderId="56" xfId="0" applyFont="1" applyFill="1" applyBorder="1" applyAlignment="1">
      <alignment horizontal="left" vertical="center" wrapText="1" indent="2"/>
    </xf>
    <xf numFmtId="0" fontId="79" fillId="6" borderId="65" xfId="37" applyFont="1" applyFill="1" applyBorder="1" applyAlignment="1">
      <alignment horizontal="center" vertical="center" wrapText="1"/>
    </xf>
    <xf numFmtId="0" fontId="0" fillId="0" borderId="0" xfId="0" applyAlignment="1">
      <alignment horizontal="left"/>
    </xf>
    <xf numFmtId="10" fontId="0" fillId="0" borderId="0" xfId="31" applyNumberFormat="1" applyFont="1" applyAlignment="1" applyProtection="1">
      <alignment horizontal="left"/>
    </xf>
    <xf numFmtId="173" fontId="0" fillId="0" borderId="0" xfId="31" applyNumberFormat="1" applyFont="1" applyAlignment="1" applyProtection="1">
      <alignment horizontal="left"/>
    </xf>
    <xf numFmtId="174" fontId="0" fillId="0" borderId="0" xfId="31" applyNumberFormat="1" applyFont="1" applyAlignment="1" applyProtection="1">
      <alignment horizontal="left"/>
    </xf>
    <xf numFmtId="0" fontId="0" fillId="0" borderId="0" xfId="0" quotePrefix="1" applyAlignment="1">
      <alignment horizontal="left"/>
    </xf>
    <xf numFmtId="174" fontId="0" fillId="0" borderId="0" xfId="0" applyNumberFormat="1" applyAlignment="1">
      <alignment horizontal="left"/>
    </xf>
    <xf numFmtId="0" fontId="65" fillId="0" borderId="0" xfId="0" applyFont="1" applyAlignment="1">
      <alignment vertical="top" wrapText="1"/>
    </xf>
    <xf numFmtId="0" fontId="65" fillId="0" borderId="0" xfId="0" applyFont="1" applyAlignment="1">
      <alignment vertical="center"/>
    </xf>
    <xf numFmtId="0" fontId="24" fillId="9" borderId="64" xfId="37" applyFont="1" applyFill="1" applyBorder="1" applyAlignment="1">
      <alignment horizontal="center" vertical="center" wrapText="1"/>
    </xf>
    <xf numFmtId="0" fontId="24" fillId="9" borderId="67" xfId="37" applyFont="1" applyFill="1" applyBorder="1" applyAlignment="1">
      <alignment horizontal="center" vertical="center" wrapText="1"/>
    </xf>
    <xf numFmtId="0" fontId="24" fillId="6" borderId="22" xfId="37" applyFont="1" applyFill="1" applyBorder="1" applyAlignment="1">
      <alignment horizontal="center" vertical="center" wrapText="1"/>
    </xf>
    <xf numFmtId="0" fontId="7" fillId="2" borderId="63" xfId="37" applyFont="1" applyFill="1" applyBorder="1" applyAlignment="1">
      <alignment horizontal="center" vertical="center" wrapText="1"/>
    </xf>
    <xf numFmtId="0" fontId="27" fillId="0" borderId="68" xfId="37" applyFont="1" applyBorder="1" applyAlignment="1">
      <alignment horizontal="center" vertical="center" wrapText="1"/>
    </xf>
    <xf numFmtId="0" fontId="27" fillId="0" borderId="69" xfId="37" applyFont="1" applyBorder="1" applyAlignment="1">
      <alignment horizontal="center" vertical="center" wrapText="1"/>
    </xf>
    <xf numFmtId="0" fontId="27" fillId="0" borderId="70" xfId="37" applyFont="1" applyBorder="1" applyAlignment="1">
      <alignment horizontal="center" vertical="center" wrapText="1"/>
    </xf>
    <xf numFmtId="3" fontId="11" fillId="8" borderId="16" xfId="37" applyNumberFormat="1" applyFont="1" applyFill="1" applyBorder="1" applyAlignment="1" applyProtection="1">
      <alignment vertical="center" wrapText="1"/>
      <protection locked="0"/>
    </xf>
    <xf numFmtId="0" fontId="11" fillId="2" borderId="27" xfId="37" applyFont="1" applyFill="1" applyBorder="1" applyAlignment="1">
      <alignment horizontal="center" vertical="center" wrapText="1"/>
    </xf>
    <xf numFmtId="0" fontId="11" fillId="2" borderId="63" xfId="37" applyFont="1" applyFill="1" applyBorder="1" applyAlignment="1">
      <alignment horizontal="center" vertical="center" wrapText="1"/>
    </xf>
    <xf numFmtId="0" fontId="31" fillId="0" borderId="71" xfId="37" applyFont="1" applyBorder="1" applyAlignment="1">
      <alignment horizontal="center" vertical="center" wrapText="1"/>
    </xf>
    <xf numFmtId="0" fontId="31" fillId="0" borderId="72" xfId="37" applyFont="1" applyBorder="1" applyAlignment="1">
      <alignment horizontal="center" vertical="center" wrapText="1"/>
    </xf>
    <xf numFmtId="3" fontId="11" fillId="7" borderId="16" xfId="37" applyNumberFormat="1" applyFont="1" applyFill="1" applyBorder="1" applyAlignment="1">
      <alignment vertical="center" wrapText="1"/>
    </xf>
    <xf numFmtId="0" fontId="11" fillId="2" borderId="66" xfId="37" applyFont="1" applyFill="1" applyBorder="1" applyAlignment="1">
      <alignment horizontal="center" vertical="center" wrapText="1"/>
    </xf>
    <xf numFmtId="0" fontId="11" fillId="2" borderId="25" xfId="37" applyFont="1" applyFill="1" applyBorder="1" applyAlignment="1">
      <alignment horizontal="center" vertical="center" wrapText="1"/>
    </xf>
    <xf numFmtId="0" fontId="27" fillId="0" borderId="68" xfId="0" applyFont="1" applyBorder="1" applyAlignment="1">
      <alignment horizontal="center" vertical="center" wrapText="1"/>
    </xf>
    <xf numFmtId="0" fontId="27" fillId="0" borderId="69" xfId="0" applyFont="1" applyBorder="1" applyAlignment="1">
      <alignment horizontal="center" vertical="center" wrapText="1"/>
    </xf>
    <xf numFmtId="0" fontId="27" fillId="0" borderId="71" xfId="37" applyFont="1" applyBorder="1" applyAlignment="1">
      <alignment horizontal="center" vertical="center" wrapText="1"/>
    </xf>
    <xf numFmtId="0" fontId="27" fillId="0" borderId="73" xfId="0" applyFont="1" applyBorder="1" applyAlignment="1">
      <alignment horizontal="center" vertical="center" wrapText="1"/>
    </xf>
    <xf numFmtId="0" fontId="27" fillId="4" borderId="69" xfId="0" applyFont="1" applyFill="1" applyBorder="1" applyAlignment="1">
      <alignment horizontal="center" vertical="center" wrapText="1"/>
    </xf>
    <xf numFmtId="0" fontId="68" fillId="0" borderId="16" xfId="36" applyFont="1" applyBorder="1" applyAlignment="1">
      <alignment horizontal="center" vertical="center" wrapText="1"/>
    </xf>
    <xf numFmtId="0" fontId="68" fillId="18" borderId="47" xfId="36" applyFont="1" applyFill="1" applyBorder="1" applyAlignment="1">
      <alignment horizontal="center" vertical="center" wrapText="1"/>
    </xf>
    <xf numFmtId="0" fontId="68" fillId="18" borderId="16" xfId="36" applyFont="1" applyFill="1" applyBorder="1" applyAlignment="1">
      <alignment horizontal="center" vertical="center" wrapText="1"/>
    </xf>
    <xf numFmtId="0" fontId="69" fillId="18" borderId="57" xfId="37" applyFont="1" applyFill="1" applyBorder="1" applyAlignment="1">
      <alignment horizontal="center" vertical="center" wrapText="1"/>
    </xf>
    <xf numFmtId="0" fontId="26" fillId="0" borderId="16" xfId="0" applyFont="1" applyBorder="1" applyAlignment="1">
      <alignment horizontal="center" vertical="center" wrapText="1"/>
    </xf>
    <xf numFmtId="0" fontId="53" fillId="0" borderId="57" xfId="0" applyFont="1" applyBorder="1" applyAlignment="1">
      <alignment horizontal="center" vertical="center"/>
    </xf>
    <xf numFmtId="0" fontId="24" fillId="2" borderId="22" xfId="37" applyFont="1" applyFill="1" applyBorder="1" applyAlignment="1">
      <alignment horizontal="center" vertical="center" wrapText="1"/>
    </xf>
    <xf numFmtId="0" fontId="31" fillId="0" borderId="68" xfId="37" applyFont="1" applyBorder="1" applyAlignment="1">
      <alignment horizontal="center" vertical="center" wrapText="1"/>
    </xf>
    <xf numFmtId="0" fontId="31" fillId="0" borderId="69" xfId="37" applyFont="1" applyBorder="1" applyAlignment="1">
      <alignment horizontal="center" vertical="center" wrapText="1"/>
    </xf>
    <xf numFmtId="0" fontId="31" fillId="0" borderId="70" xfId="37" applyFont="1" applyBorder="1" applyAlignment="1">
      <alignment horizontal="center" vertical="center" wrapText="1"/>
    </xf>
    <xf numFmtId="3" fontId="11" fillId="7" borderId="16" xfId="37" applyNumberFormat="1" applyFont="1" applyFill="1" applyBorder="1" applyAlignment="1">
      <alignment horizontal="right" vertical="center" wrapText="1"/>
    </xf>
    <xf numFmtId="0" fontId="27" fillId="0" borderId="69" xfId="0" applyFont="1" applyBorder="1"/>
    <xf numFmtId="170" fontId="11" fillId="7" borderId="16" xfId="37" applyNumberFormat="1" applyFont="1" applyFill="1" applyBorder="1" applyAlignment="1">
      <alignment horizontal="right" vertical="center" wrapText="1"/>
    </xf>
    <xf numFmtId="170" fontId="23" fillId="8" borderId="16" xfId="30" applyNumberFormat="1" applyFont="1" applyFill="1" applyBorder="1" applyAlignment="1" applyProtection="1">
      <alignment horizontal="right" vertical="center" wrapText="1"/>
      <protection locked="0"/>
    </xf>
    <xf numFmtId="0" fontId="31" fillId="0" borderId="69" xfId="0" applyFont="1" applyBorder="1"/>
    <xf numFmtId="0" fontId="27" fillId="0" borderId="69" xfId="0" applyFont="1" applyBorder="1" applyAlignment="1">
      <alignment horizontal="center" vertical="center"/>
    </xf>
    <xf numFmtId="49" fontId="11" fillId="8" borderId="16" xfId="36" applyNumberFormat="1" applyFont="1" applyFill="1" applyBorder="1" applyAlignment="1" applyProtection="1">
      <alignment horizontal="right" vertical="center" wrapText="1"/>
      <protection locked="0"/>
    </xf>
    <xf numFmtId="0" fontId="47" fillId="0" borderId="69" xfId="36" applyFont="1" applyBorder="1" applyAlignment="1">
      <alignment horizontal="center" vertical="center" wrapText="1"/>
    </xf>
    <xf numFmtId="0" fontId="11" fillId="2" borderId="54" xfId="36" applyFont="1" applyFill="1" applyBorder="1" applyAlignment="1">
      <alignment horizontal="center" vertical="center" wrapText="1"/>
    </xf>
    <xf numFmtId="0" fontId="2" fillId="2" borderId="54" xfId="0" applyFont="1" applyFill="1" applyBorder="1" applyAlignment="1">
      <alignment horizontal="center" vertical="center"/>
    </xf>
    <xf numFmtId="0" fontId="69" fillId="18" borderId="16" xfId="0" applyFont="1" applyFill="1" applyBorder="1"/>
    <xf numFmtId="0" fontId="69" fillId="18" borderId="47" xfId="0" applyFont="1" applyFill="1" applyBorder="1"/>
    <xf numFmtId="0" fontId="69" fillId="18" borderId="16" xfId="37" applyFont="1" applyFill="1" applyBorder="1" applyAlignment="1">
      <alignment horizontal="center" vertical="center" wrapText="1"/>
    </xf>
    <xf numFmtId="3" fontId="11" fillId="8" borderId="16" xfId="37" applyNumberFormat="1" applyFont="1" applyFill="1" applyBorder="1" applyAlignment="1" applyProtection="1">
      <alignment horizontal="right" vertical="center" wrapText="1"/>
      <protection locked="0"/>
    </xf>
    <xf numFmtId="0" fontId="29" fillId="2" borderId="54" xfId="0" applyFont="1" applyFill="1" applyBorder="1" applyAlignment="1">
      <alignment horizontal="center" vertical="center"/>
    </xf>
    <xf numFmtId="0" fontId="27" fillId="4" borderId="69" xfId="37" applyFont="1" applyFill="1" applyBorder="1" applyAlignment="1">
      <alignment horizontal="center" vertical="center" wrapText="1"/>
    </xf>
    <xf numFmtId="0" fontId="68" fillId="0" borderId="59" xfId="36" applyFont="1" applyBorder="1" applyAlignment="1">
      <alignment horizontal="center" vertical="center" wrapText="1"/>
    </xf>
    <xf numFmtId="0" fontId="27" fillId="0" borderId="72" xfId="37" applyFont="1" applyBorder="1" applyAlignment="1">
      <alignment horizontal="center" vertical="center" wrapText="1"/>
    </xf>
    <xf numFmtId="0" fontId="11" fillId="2" borderId="75" xfId="37" applyFont="1" applyFill="1" applyBorder="1" applyAlignment="1">
      <alignment vertical="center" wrapText="1"/>
    </xf>
    <xf numFmtId="0" fontId="27" fillId="0" borderId="68" xfId="36" applyFont="1" applyBorder="1" applyAlignment="1">
      <alignment horizontal="center" vertical="center" wrapText="1"/>
    </xf>
    <xf numFmtId="0" fontId="27" fillId="0" borderId="69" xfId="36" applyFont="1" applyBorder="1" applyAlignment="1">
      <alignment horizontal="center" vertical="center" wrapText="1"/>
    </xf>
    <xf numFmtId="0" fontId="27" fillId="0" borderId="68" xfId="37" applyFont="1" applyBorder="1" applyAlignment="1">
      <alignment horizontal="center" vertical="center"/>
    </xf>
    <xf numFmtId="0" fontId="27" fillId="0" borderId="69" xfId="37" applyFont="1" applyBorder="1" applyAlignment="1">
      <alignment horizontal="center" vertical="center"/>
    </xf>
    <xf numFmtId="0" fontId="27" fillId="0" borderId="69" xfId="0" applyFont="1" applyBorder="1" applyAlignment="1">
      <alignment vertical="center" wrapText="1"/>
    </xf>
    <xf numFmtId="0" fontId="73" fillId="0" borderId="0" xfId="0" applyFont="1" applyAlignment="1">
      <alignment horizontal="center" vertical="center"/>
    </xf>
    <xf numFmtId="0" fontId="11" fillId="2" borderId="45" xfId="37" applyFont="1" applyFill="1" applyBorder="1" applyAlignment="1">
      <alignment horizontal="left" vertical="center" wrapText="1"/>
    </xf>
    <xf numFmtId="0" fontId="11" fillId="2" borderId="54" xfId="0" applyFont="1" applyFill="1" applyBorder="1" applyAlignment="1">
      <alignment horizontal="center" vertical="center"/>
    </xf>
    <xf numFmtId="0" fontId="26" fillId="2" borderId="54" xfId="37" applyFont="1" applyFill="1" applyBorder="1" applyAlignment="1">
      <alignment horizontal="center" vertical="center"/>
    </xf>
    <xf numFmtId="0" fontId="27" fillId="0" borderId="24" xfId="36" applyFont="1" applyBorder="1" applyAlignment="1">
      <alignment horizontal="center" vertical="center" wrapText="1"/>
    </xf>
    <xf numFmtId="0" fontId="41" fillId="2" borderId="45" xfId="36" applyFont="1" applyFill="1" applyBorder="1" applyAlignment="1">
      <alignment horizontal="left" vertical="center" wrapText="1" indent="2"/>
    </xf>
    <xf numFmtId="0" fontId="11" fillId="2" borderId="17" xfId="0" applyFont="1" applyFill="1" applyBorder="1" applyAlignment="1">
      <alignment horizontal="center" vertical="center"/>
    </xf>
    <xf numFmtId="0" fontId="11" fillId="2" borderId="18" xfId="0" applyFont="1" applyFill="1" applyBorder="1" applyAlignment="1">
      <alignment horizontal="left" vertical="center" wrapText="1"/>
    </xf>
    <xf numFmtId="0" fontId="11" fillId="2" borderId="55" xfId="36" applyFont="1" applyFill="1" applyBorder="1" applyAlignment="1">
      <alignment horizontal="center" vertical="center" wrapText="1"/>
    </xf>
    <xf numFmtId="0" fontId="41" fillId="2" borderId="45" xfId="37" applyFont="1" applyFill="1" applyBorder="1" applyAlignment="1">
      <alignment horizontal="left" vertical="center" wrapText="1" indent="4"/>
    </xf>
    <xf numFmtId="0" fontId="11" fillId="2" borderId="58" xfId="0" applyFont="1" applyFill="1" applyBorder="1" applyAlignment="1">
      <alignment horizontal="center" vertical="center"/>
    </xf>
    <xf numFmtId="0" fontId="41" fillId="2" borderId="46" xfId="37" applyFont="1" applyFill="1" applyBorder="1" applyAlignment="1">
      <alignment horizontal="left" vertical="center" wrapText="1" indent="2"/>
    </xf>
    <xf numFmtId="0" fontId="11" fillId="2" borderId="13" xfId="0" applyFont="1" applyFill="1" applyBorder="1" applyAlignment="1">
      <alignment horizontal="center" vertical="center"/>
    </xf>
    <xf numFmtId="0" fontId="11" fillId="2" borderId="4" xfId="37" applyFont="1" applyFill="1" applyBorder="1" applyAlignment="1">
      <alignment vertical="center" wrapText="1"/>
    </xf>
    <xf numFmtId="0" fontId="41" fillId="2" borderId="4" xfId="37" applyFont="1" applyFill="1" applyBorder="1" applyAlignment="1">
      <alignment horizontal="left" vertical="center" wrapText="1" indent="2"/>
    </xf>
    <xf numFmtId="0" fontId="11" fillId="2" borderId="55" xfId="0" applyFont="1" applyFill="1" applyBorder="1" applyAlignment="1">
      <alignment horizontal="center" vertical="center"/>
    </xf>
    <xf numFmtId="0" fontId="41" fillId="2" borderId="45" xfId="37" applyFont="1" applyFill="1" applyBorder="1" applyAlignment="1">
      <alignment horizontal="left" vertical="center" wrapText="1" indent="3"/>
    </xf>
    <xf numFmtId="0" fontId="11" fillId="2" borderId="55" xfId="0" applyFont="1" applyFill="1" applyBorder="1" applyAlignment="1">
      <alignment horizontal="center" vertical="center" wrapText="1"/>
    </xf>
    <xf numFmtId="0" fontId="41" fillId="2" borderId="56" xfId="37" applyFont="1" applyFill="1" applyBorder="1" applyAlignment="1">
      <alignment horizontal="left" vertical="center" wrapText="1" indent="3"/>
    </xf>
    <xf numFmtId="49" fontId="26" fillId="8" borderId="16" xfId="36" applyNumberFormat="1" applyFont="1" applyFill="1" applyBorder="1" applyAlignment="1" applyProtection="1">
      <alignment horizontal="right" vertical="center" wrapText="1"/>
      <protection locked="0"/>
    </xf>
    <xf numFmtId="0" fontId="11" fillId="2" borderId="63" xfId="36" applyFont="1" applyFill="1" applyBorder="1" applyAlignment="1">
      <alignment horizontal="center" vertical="center" wrapText="1"/>
    </xf>
    <xf numFmtId="0" fontId="11" fillId="2" borderId="77" xfId="36" applyFont="1" applyFill="1" applyBorder="1" applyAlignment="1">
      <alignment horizontal="center" vertical="center" wrapText="1"/>
    </xf>
    <xf numFmtId="0" fontId="11" fillId="2" borderId="40" xfId="36" applyFont="1" applyFill="1" applyBorder="1" applyAlignment="1">
      <alignment horizontal="center" vertical="center" wrapText="1"/>
    </xf>
    <xf numFmtId="0" fontId="11" fillId="2" borderId="27" xfId="36" applyFont="1" applyFill="1" applyBorder="1" applyAlignment="1">
      <alignment horizontal="center" vertical="center" wrapText="1"/>
    </xf>
    <xf numFmtId="0" fontId="23" fillId="2" borderId="63" xfId="36" applyFont="1" applyFill="1" applyBorder="1" applyAlignment="1">
      <alignment horizontal="center" vertical="center" wrapText="1"/>
    </xf>
    <xf numFmtId="0" fontId="26" fillId="2" borderId="63" xfId="36" applyFont="1" applyFill="1" applyBorder="1" applyAlignment="1">
      <alignment horizontal="center" vertical="center" wrapText="1"/>
    </xf>
    <xf numFmtId="0" fontId="26" fillId="2" borderId="25" xfId="36" applyFont="1" applyFill="1" applyBorder="1" applyAlignment="1">
      <alignment horizontal="center" vertical="center" wrapText="1"/>
    </xf>
    <xf numFmtId="0" fontId="26" fillId="2" borderId="63" xfId="37" applyFont="1" applyFill="1" applyBorder="1" applyAlignment="1">
      <alignment horizontal="center" vertical="center" wrapText="1"/>
    </xf>
    <xf numFmtId="0" fontId="26" fillId="2" borderId="40" xfId="37" applyFont="1" applyFill="1" applyBorder="1" applyAlignment="1">
      <alignment horizontal="center" vertical="center" wrapText="1"/>
    </xf>
    <xf numFmtId="168" fontId="26" fillId="2" borderId="27" xfId="7" applyFont="1" applyFill="1" applyBorder="1" applyAlignment="1">
      <alignment horizontal="center" vertical="center" wrapText="1"/>
    </xf>
    <xf numFmtId="168" fontId="26" fillId="2" borderId="63" xfId="7" applyFont="1" applyFill="1" applyBorder="1" applyAlignment="1">
      <alignment horizontal="center" vertical="center" wrapText="1"/>
    </xf>
    <xf numFmtId="0" fontId="54" fillId="17" borderId="30" xfId="7" applyNumberFormat="1" applyFont="1" applyFill="1" applyBorder="1" applyAlignment="1">
      <alignment horizontal="center" vertical="center" wrapText="1"/>
    </xf>
    <xf numFmtId="168" fontId="26" fillId="2" borderId="40" xfId="7" applyFont="1" applyFill="1" applyBorder="1" applyAlignment="1">
      <alignment horizontal="center" vertical="center" wrapText="1"/>
    </xf>
    <xf numFmtId="0" fontId="29" fillId="12" borderId="27" xfId="36" applyFont="1" applyFill="1" applyBorder="1" applyAlignment="1">
      <alignment horizontal="center" vertical="center" wrapText="1"/>
    </xf>
    <xf numFmtId="0" fontId="26" fillId="22" borderId="55" xfId="37" applyFont="1" applyFill="1" applyBorder="1" applyAlignment="1">
      <alignment horizontal="center" vertical="center" wrapText="1"/>
    </xf>
    <xf numFmtId="0" fontId="26" fillId="22" borderId="56" xfId="37" applyFont="1" applyFill="1" applyBorder="1" applyAlignment="1">
      <alignment horizontal="left" vertical="center" wrapText="1"/>
    </xf>
    <xf numFmtId="0" fontId="35" fillId="0" borderId="0" xfId="0" applyFont="1" applyAlignment="1">
      <alignment vertical="center"/>
    </xf>
    <xf numFmtId="0" fontId="27" fillId="0" borderId="87" xfId="37" applyFont="1" applyBorder="1" applyAlignment="1">
      <alignment horizontal="center" vertical="center" wrapText="1"/>
    </xf>
    <xf numFmtId="0" fontId="83" fillId="2" borderId="63" xfId="37" applyFont="1" applyFill="1" applyBorder="1" applyAlignment="1">
      <alignment horizontal="center" vertical="center" wrapText="1"/>
    </xf>
    <xf numFmtId="0" fontId="4" fillId="2" borderId="17" xfId="36" applyFont="1" applyFill="1" applyBorder="1" applyAlignment="1">
      <alignment horizontal="center" vertical="center" wrapText="1"/>
    </xf>
    <xf numFmtId="0" fontId="0" fillId="2" borderId="46" xfId="0" applyFill="1" applyBorder="1" applyAlignment="1">
      <alignment horizontal="left" vertical="center" wrapText="1"/>
    </xf>
    <xf numFmtId="0" fontId="7" fillId="2" borderId="27" xfId="37" applyFont="1" applyFill="1" applyBorder="1" applyAlignment="1">
      <alignment horizontal="center" vertical="center" wrapText="1"/>
    </xf>
    <xf numFmtId="0" fontId="26" fillId="2" borderId="25" xfId="37" applyFont="1" applyFill="1" applyBorder="1" applyAlignment="1">
      <alignment horizontal="center" vertical="center" wrapText="1"/>
    </xf>
    <xf numFmtId="0" fontId="11" fillId="2" borderId="89" xfId="37" applyFont="1" applyFill="1" applyBorder="1" applyAlignment="1">
      <alignment horizontal="center" vertical="center" wrapText="1"/>
    </xf>
    <xf numFmtId="0" fontId="24" fillId="9" borderId="30" xfId="37" applyFont="1" applyFill="1" applyBorder="1" applyAlignment="1">
      <alignment horizontal="center" vertical="center" wrapText="1"/>
    </xf>
    <xf numFmtId="0" fontId="24" fillId="9" borderId="75" xfId="37" applyFont="1" applyFill="1" applyBorder="1" applyAlignment="1">
      <alignment horizontal="center" vertical="center" wrapText="1"/>
    </xf>
    <xf numFmtId="0" fontId="24" fillId="9" borderId="76" xfId="37" applyFont="1" applyFill="1" applyBorder="1" applyAlignment="1">
      <alignment horizontal="center" vertical="center" wrapText="1"/>
    </xf>
    <xf numFmtId="0" fontId="24" fillId="2" borderId="76" xfId="37" applyFont="1" applyFill="1" applyBorder="1" applyAlignment="1">
      <alignment horizontal="center" vertical="center" wrapText="1"/>
    </xf>
    <xf numFmtId="0" fontId="79" fillId="6" borderId="91" xfId="37" applyFont="1" applyFill="1" applyBorder="1" applyAlignment="1">
      <alignment horizontal="center" vertical="center" wrapText="1"/>
    </xf>
    <xf numFmtId="0" fontId="26" fillId="2" borderId="90" xfId="37" applyFont="1" applyFill="1" applyBorder="1" applyAlignment="1">
      <alignment horizontal="center" vertical="center" wrapText="1"/>
    </xf>
    <xf numFmtId="0" fontId="11" fillId="2" borderId="18" xfId="0" applyFont="1" applyFill="1" applyBorder="1" applyAlignment="1">
      <alignment vertical="center" wrapText="1"/>
    </xf>
    <xf numFmtId="0" fontId="26" fillId="2" borderId="45" xfId="0" applyFont="1" applyFill="1" applyBorder="1" applyAlignment="1">
      <alignment vertical="center" wrapText="1"/>
    </xf>
    <xf numFmtId="0" fontId="66" fillId="0" borderId="0" xfId="0" applyFont="1"/>
    <xf numFmtId="0" fontId="83" fillId="0" borderId="0" xfId="0" applyFont="1"/>
    <xf numFmtId="0" fontId="50" fillId="0" borderId="0" xfId="0" applyFont="1" applyAlignment="1">
      <alignment horizontal="center" vertical="center"/>
    </xf>
    <xf numFmtId="0" fontId="23" fillId="2" borderId="58" xfId="0" applyFont="1" applyFill="1" applyBorder="1" applyAlignment="1">
      <alignment horizontal="center" vertical="center"/>
    </xf>
    <xf numFmtId="0" fontId="45" fillId="2" borderId="46" xfId="38" applyFont="1" applyFill="1" applyBorder="1" applyAlignment="1">
      <alignment horizontal="left" vertical="center" wrapText="1"/>
    </xf>
    <xf numFmtId="0" fontId="11" fillId="2" borderId="27" xfId="0" applyFont="1" applyFill="1" applyBorder="1" applyAlignment="1">
      <alignment horizontal="center" vertical="center" wrapText="1"/>
    </xf>
    <xf numFmtId="0" fontId="11" fillId="2" borderId="63" xfId="0" applyFont="1" applyFill="1" applyBorder="1" applyAlignment="1">
      <alignment horizontal="center" vertical="center" wrapText="1"/>
    </xf>
    <xf numFmtId="0" fontId="26" fillId="2" borderId="63" xfId="0" applyFont="1" applyFill="1" applyBorder="1" applyAlignment="1">
      <alignment horizontal="center" vertical="center" wrapText="1"/>
    </xf>
    <xf numFmtId="0" fontId="24" fillId="2" borderId="63" xfId="37" applyFont="1" applyFill="1" applyBorder="1" applyAlignment="1">
      <alignment horizontal="center" vertical="center" wrapText="1"/>
    </xf>
    <xf numFmtId="0" fontId="0" fillId="2" borderId="63" xfId="0" applyFill="1" applyBorder="1" applyAlignment="1">
      <alignment horizontal="center" vertical="center"/>
    </xf>
    <xf numFmtId="0" fontId="45" fillId="2" borderId="63" xfId="38" applyFont="1" applyFill="1" applyBorder="1" applyAlignment="1">
      <alignment horizontal="center" vertical="center" wrapText="1"/>
    </xf>
    <xf numFmtId="0" fontId="45" fillId="2" borderId="66" xfId="38" applyFont="1" applyFill="1" applyBorder="1" applyAlignment="1">
      <alignment horizontal="center" vertical="center" wrapText="1"/>
    </xf>
    <xf numFmtId="0" fontId="11" fillId="2" borderId="66" xfId="0" applyFont="1" applyFill="1" applyBorder="1" applyAlignment="1">
      <alignment horizontal="center" vertical="center" wrapText="1"/>
    </xf>
    <xf numFmtId="0" fontId="11" fillId="2" borderId="26" xfId="0" applyFont="1" applyFill="1" applyBorder="1" applyAlignment="1">
      <alignment horizontal="center" vertical="center"/>
    </xf>
    <xf numFmtId="0" fontId="11" fillId="2" borderId="56" xfId="0" applyFont="1" applyFill="1" applyBorder="1" applyAlignment="1">
      <alignment horizontal="left" vertical="center" wrapText="1"/>
    </xf>
    <xf numFmtId="0" fontId="11" fillId="2" borderId="90" xfId="37" applyFont="1" applyFill="1" applyBorder="1" applyAlignment="1">
      <alignment horizontal="center" vertical="center" wrapText="1"/>
    </xf>
    <xf numFmtId="0" fontId="26" fillId="7" borderId="101" xfId="37" applyFont="1" applyFill="1" applyBorder="1" applyAlignment="1">
      <alignment horizontal="right" vertical="center" wrapText="1"/>
    </xf>
    <xf numFmtId="49" fontId="26" fillId="7" borderId="101" xfId="37" applyNumberFormat="1" applyFont="1" applyFill="1" applyBorder="1" applyAlignment="1">
      <alignment horizontal="right" vertical="center" wrapText="1"/>
    </xf>
    <xf numFmtId="10" fontId="2" fillId="7" borderId="101" xfId="31" applyNumberFormat="1" applyFont="1" applyFill="1" applyBorder="1" applyAlignment="1" applyProtection="1">
      <alignment horizontal="right" vertical="center"/>
    </xf>
    <xf numFmtId="168" fontId="26" fillId="2" borderId="103" xfId="7" applyFont="1" applyFill="1" applyBorder="1" applyAlignment="1">
      <alignment horizontal="center" vertical="center" wrapText="1"/>
    </xf>
    <xf numFmtId="0" fontId="24" fillId="7" borderId="101" xfId="37" applyFont="1" applyFill="1" applyBorder="1" applyAlignment="1">
      <alignment horizontal="right" vertical="center" wrapText="1"/>
    </xf>
    <xf numFmtId="0" fontId="29" fillId="12" borderId="103" xfId="36" applyFont="1" applyFill="1" applyBorder="1" applyAlignment="1">
      <alignment horizontal="center" vertical="center" wrapText="1"/>
    </xf>
    <xf numFmtId="0" fontId="94" fillId="0" borderId="43" xfId="0" applyFont="1" applyBorder="1" applyAlignment="1">
      <alignment horizontal="center" vertical="center" wrapText="1"/>
    </xf>
    <xf numFmtId="0" fontId="95" fillId="0" borderId="43" xfId="0" applyFont="1" applyBorder="1" applyAlignment="1">
      <alignment vertical="center" wrapText="1"/>
    </xf>
    <xf numFmtId="0" fontId="96" fillId="0" borderId="0" xfId="0" applyFont="1" applyAlignment="1">
      <alignment vertical="center"/>
    </xf>
    <xf numFmtId="0" fontId="95" fillId="0" borderId="43" xfId="0" applyFont="1" applyBorder="1" applyAlignment="1">
      <alignment horizontal="center" vertical="center" wrapText="1"/>
    </xf>
    <xf numFmtId="0" fontId="97" fillId="0" borderId="0" xfId="0" applyFont="1"/>
    <xf numFmtId="0" fontId="31" fillId="0" borderId="0" xfId="0" applyFont="1" applyAlignment="1">
      <alignment horizontal="center" vertical="center"/>
    </xf>
    <xf numFmtId="0" fontId="24" fillId="9" borderId="17" xfId="37" applyFont="1" applyFill="1" applyBorder="1" applyAlignment="1">
      <alignment horizontal="center" vertical="center" wrapText="1"/>
    </xf>
    <xf numFmtId="0" fontId="69" fillId="18" borderId="101" xfId="37" applyFont="1" applyFill="1" applyBorder="1" applyAlignment="1">
      <alignment horizontal="center" vertical="center" wrapText="1"/>
    </xf>
    <xf numFmtId="0" fontId="68" fillId="0" borderId="101" xfId="36" applyFont="1" applyBorder="1" applyAlignment="1">
      <alignment horizontal="center" vertical="center" wrapText="1"/>
    </xf>
    <xf numFmtId="0" fontId="68" fillId="18" borderId="101" xfId="37" applyFont="1" applyFill="1" applyBorder="1" applyAlignment="1">
      <alignment horizontal="center" vertical="center" wrapText="1"/>
    </xf>
    <xf numFmtId="0" fontId="68" fillId="18" borderId="101" xfId="36" applyFont="1" applyFill="1" applyBorder="1" applyAlignment="1">
      <alignment horizontal="center" vertical="center" wrapText="1"/>
    </xf>
    <xf numFmtId="0" fontId="68" fillId="0" borderId="99" xfId="36" applyFont="1" applyBorder="1" applyAlignment="1">
      <alignment horizontal="center" vertical="center" wrapText="1"/>
    </xf>
    <xf numFmtId="0" fontId="69" fillId="18" borderId="101" xfId="0" applyFont="1" applyFill="1" applyBorder="1"/>
    <xf numFmtId="0" fontId="69" fillId="18" borderId="99" xfId="0" applyFont="1" applyFill="1" applyBorder="1"/>
    <xf numFmtId="3" fontId="2" fillId="7" borderId="101" xfId="0" applyNumberFormat="1" applyFont="1" applyFill="1" applyBorder="1" applyAlignment="1">
      <alignment horizontal="center" vertical="center"/>
    </xf>
    <xf numFmtId="3" fontId="2" fillId="7" borderId="99" xfId="0" applyNumberFormat="1" applyFont="1" applyFill="1" applyBorder="1" applyAlignment="1">
      <alignment horizontal="center" vertical="center"/>
    </xf>
    <xf numFmtId="3" fontId="26" fillId="7" borderId="110" xfId="0" applyNumberFormat="1" applyFont="1" applyFill="1" applyBorder="1" applyAlignment="1">
      <alignment horizontal="center" vertical="center"/>
    </xf>
    <xf numFmtId="0" fontId="99" fillId="0" borderId="0" xfId="0" applyFont="1" applyAlignment="1">
      <alignment horizontal="center" vertical="center" wrapText="1"/>
    </xf>
    <xf numFmtId="0" fontId="11" fillId="2" borderId="25" xfId="36" applyFont="1" applyFill="1" applyBorder="1" applyAlignment="1">
      <alignment horizontal="center" vertical="center" wrapText="1"/>
    </xf>
    <xf numFmtId="0" fontId="11" fillId="2" borderId="104" xfId="36" applyFont="1" applyFill="1" applyBorder="1" applyAlignment="1">
      <alignment horizontal="center" vertical="center" wrapText="1"/>
    </xf>
    <xf numFmtId="170" fontId="23" fillId="8" borderId="101" xfId="30" applyNumberFormat="1" applyFont="1" applyFill="1" applyBorder="1" applyAlignment="1" applyProtection="1">
      <alignment horizontal="right" vertical="center" wrapText="1"/>
      <protection locked="0"/>
    </xf>
    <xf numFmtId="3" fontId="23" fillId="8" borderId="101" xfId="30" applyNumberFormat="1" applyFont="1" applyFill="1" applyBorder="1" applyAlignment="1" applyProtection="1">
      <alignment horizontal="right" vertical="center" wrapText="1"/>
      <protection locked="0"/>
    </xf>
    <xf numFmtId="172" fontId="29" fillId="7" borderId="101" xfId="36" applyNumberFormat="1" applyFont="1" applyFill="1" applyBorder="1" applyAlignment="1">
      <alignment horizontal="right" vertical="center" wrapText="1"/>
    </xf>
    <xf numFmtId="49" fontId="26" fillId="8" borderId="101" xfId="36" applyNumberFormat="1" applyFont="1" applyFill="1" applyBorder="1" applyAlignment="1" applyProtection="1">
      <alignment horizontal="right" vertical="center" wrapText="1"/>
      <protection locked="0"/>
    </xf>
    <xf numFmtId="49" fontId="11" fillId="8" borderId="99" xfId="36" applyNumberFormat="1" applyFont="1" applyFill="1" applyBorder="1" applyAlignment="1" applyProtection="1">
      <alignment horizontal="right" vertical="center" wrapText="1"/>
      <protection locked="0"/>
    </xf>
    <xf numFmtId="0" fontId="11" fillId="22" borderId="104" xfId="37" applyFont="1" applyFill="1" applyBorder="1" applyAlignment="1">
      <alignment horizontal="center" vertical="center" wrapText="1"/>
    </xf>
    <xf numFmtId="0" fontId="27" fillId="0" borderId="111" xfId="37" applyFont="1" applyBorder="1" applyAlignment="1">
      <alignment horizontal="center" vertical="center" wrapText="1"/>
    </xf>
    <xf numFmtId="3" fontId="11" fillId="8" borderId="101" xfId="37" applyNumberFormat="1" applyFont="1" applyFill="1" applyBorder="1" applyAlignment="1" applyProtection="1">
      <alignment vertical="center" wrapText="1"/>
      <protection locked="0"/>
    </xf>
    <xf numFmtId="3" fontId="26" fillId="7" borderId="101" xfId="37" applyNumberFormat="1" applyFont="1" applyFill="1" applyBorder="1" applyAlignment="1">
      <alignment vertical="center" wrapText="1"/>
    </xf>
    <xf numFmtId="3" fontId="11" fillId="7" borderId="101" xfId="37" applyNumberFormat="1" applyFont="1" applyFill="1" applyBorder="1" applyAlignment="1">
      <alignment vertical="center" wrapText="1"/>
    </xf>
    <xf numFmtId="4" fontId="26" fillId="7" borderId="101" xfId="37" applyNumberFormat="1" applyFont="1" applyFill="1" applyBorder="1" applyAlignment="1">
      <alignment horizontal="right" vertical="center" wrapText="1"/>
    </xf>
    <xf numFmtId="172" fontId="26" fillId="7" borderId="101" xfId="31" applyNumberFormat="1" applyFont="1" applyFill="1" applyBorder="1" applyAlignment="1" applyProtection="1">
      <alignment horizontal="right" vertical="center" wrapText="1"/>
    </xf>
    <xf numFmtId="172" fontId="11" fillId="10" borderId="99" xfId="31" applyNumberFormat="1" applyFont="1" applyFill="1" applyBorder="1" applyAlignment="1" applyProtection="1">
      <alignment horizontal="right" vertical="center" wrapText="1"/>
    </xf>
    <xf numFmtId="10" fontId="26" fillId="7" borderId="99" xfId="31" applyNumberFormat="1" applyFont="1" applyFill="1" applyBorder="1" applyAlignment="1" applyProtection="1">
      <alignment horizontal="right" vertical="center" wrapText="1"/>
    </xf>
    <xf numFmtId="0" fontId="26" fillId="2" borderId="27" xfId="36" applyFont="1" applyFill="1" applyBorder="1" applyAlignment="1">
      <alignment horizontal="center" vertical="center" wrapText="1"/>
    </xf>
    <xf numFmtId="0" fontId="27" fillId="0" borderId="112" xfId="37" applyFont="1" applyBorder="1" applyAlignment="1">
      <alignment horizontal="center" vertical="center" wrapText="1"/>
    </xf>
    <xf numFmtId="3" fontId="26" fillId="7" borderId="101" xfId="37" applyNumberFormat="1" applyFont="1" applyFill="1" applyBorder="1" applyAlignment="1">
      <alignment horizontal="right" vertical="center" wrapText="1"/>
    </xf>
    <xf numFmtId="3" fontId="11" fillId="23" borderId="101" xfId="37" applyNumberFormat="1" applyFont="1" applyFill="1" applyBorder="1" applyAlignment="1" applyProtection="1">
      <alignment vertical="center" wrapText="1"/>
      <protection locked="0"/>
    </xf>
    <xf numFmtId="172" fontId="26" fillId="10" borderId="101" xfId="37" applyNumberFormat="1" applyFont="1" applyFill="1" applyBorder="1" applyAlignment="1">
      <alignment horizontal="right" vertical="center" wrapText="1"/>
    </xf>
    <xf numFmtId="0" fontId="7" fillId="2" borderId="104" xfId="37" applyFont="1" applyFill="1" applyBorder="1" applyAlignment="1">
      <alignment horizontal="center" vertical="center" wrapText="1"/>
    </xf>
    <xf numFmtId="3" fontId="11" fillId="8" borderId="99" xfId="37" applyNumberFormat="1" applyFont="1" applyFill="1" applyBorder="1" applyAlignment="1" applyProtection="1">
      <alignment vertical="center" wrapText="1"/>
      <protection locked="0"/>
    </xf>
    <xf numFmtId="49" fontId="11" fillId="7" borderId="101" xfId="36" quotePrefix="1" applyNumberFormat="1" applyFont="1" applyFill="1" applyBorder="1" applyAlignment="1">
      <alignment horizontal="right" vertical="center" wrapText="1"/>
    </xf>
    <xf numFmtId="49" fontId="29" fillId="7" borderId="101" xfId="36" applyNumberFormat="1" applyFont="1" applyFill="1" applyBorder="1" applyAlignment="1">
      <alignment horizontal="right" vertical="center" wrapText="1"/>
    </xf>
    <xf numFmtId="0" fontId="23" fillId="2" borderId="100" xfId="36" applyFont="1" applyFill="1" applyBorder="1" applyAlignment="1">
      <alignment horizontal="center" vertical="center"/>
    </xf>
    <xf numFmtId="3" fontId="11" fillId="2" borderId="109" xfId="36" applyNumberFormat="1" applyFont="1" applyFill="1" applyBorder="1" applyAlignment="1">
      <alignment vertical="center" wrapText="1"/>
    </xf>
    <xf numFmtId="0" fontId="23" fillId="2" borderId="100" xfId="36" applyFont="1" applyFill="1" applyBorder="1" applyAlignment="1">
      <alignment horizontal="center" vertical="center" wrapText="1"/>
    </xf>
    <xf numFmtId="0" fontId="23" fillId="2" borderId="109" xfId="36" applyFont="1" applyFill="1" applyBorder="1" applyAlignment="1">
      <alignment vertical="center" wrapText="1"/>
    </xf>
    <xf numFmtId="0" fontId="11" fillId="2" borderId="100" xfId="36" applyFont="1" applyFill="1" applyBorder="1" applyAlignment="1">
      <alignment horizontal="center" vertical="center" wrapText="1"/>
    </xf>
    <xf numFmtId="0" fontId="29" fillId="12" borderId="100" xfId="36" applyFont="1" applyFill="1" applyBorder="1" applyAlignment="1">
      <alignment horizontal="center" vertical="center" wrapText="1"/>
    </xf>
    <xf numFmtId="0" fontId="29" fillId="12" borderId="109" xfId="36" applyFont="1" applyFill="1" applyBorder="1" applyAlignment="1">
      <alignment vertical="center" wrapText="1"/>
    </xf>
    <xf numFmtId="0" fontId="23" fillId="2" borderId="98" xfId="36" applyFont="1" applyFill="1" applyBorder="1" applyAlignment="1">
      <alignment horizontal="center" vertical="center" wrapText="1"/>
    </xf>
    <xf numFmtId="0" fontId="11" fillId="2" borderId="110" xfId="37" applyFont="1" applyFill="1" applyBorder="1" applyAlignment="1">
      <alignment vertical="center" wrapText="1"/>
    </xf>
    <xf numFmtId="174" fontId="26" fillId="7" borderId="101" xfId="37" quotePrefix="1" applyNumberFormat="1" applyFont="1" applyFill="1" applyBorder="1" applyAlignment="1">
      <alignment vertical="center"/>
    </xf>
    <xf numFmtId="10" fontId="26" fillId="7" borderId="101" xfId="37" quotePrefix="1" applyNumberFormat="1" applyFont="1" applyFill="1" applyBorder="1" applyAlignment="1">
      <alignment vertical="center"/>
    </xf>
    <xf numFmtId="173" fontId="26" fillId="7" borderId="101" xfId="37" quotePrefix="1" applyNumberFormat="1" applyFont="1" applyFill="1" applyBorder="1" applyAlignment="1">
      <alignment vertical="center"/>
    </xf>
    <xf numFmtId="4" fontId="24" fillId="7" borderId="101" xfId="31" applyNumberFormat="1" applyFont="1" applyFill="1" applyBorder="1" applyAlignment="1" applyProtection="1">
      <alignment vertical="center"/>
    </xf>
    <xf numFmtId="10" fontId="24" fillId="7" borderId="99" xfId="31" applyNumberFormat="1" applyFont="1" applyFill="1" applyBorder="1" applyAlignment="1" applyProtection="1">
      <alignment vertical="center"/>
    </xf>
    <xf numFmtId="0" fontId="69" fillId="18" borderId="99" xfId="37" applyFont="1" applyFill="1" applyBorder="1" applyAlignment="1">
      <alignment horizontal="center" vertical="center" wrapText="1"/>
    </xf>
    <xf numFmtId="0" fontId="71" fillId="18" borderId="99" xfId="37" applyFont="1" applyFill="1" applyBorder="1" applyAlignment="1">
      <alignment horizontal="center" vertical="center" wrapText="1"/>
    </xf>
    <xf numFmtId="0" fontId="68" fillId="0" borderId="99" xfId="37" applyFont="1" applyBorder="1" applyAlignment="1">
      <alignment horizontal="center" vertical="center" wrapText="1"/>
    </xf>
    <xf numFmtId="0" fontId="68" fillId="18" borderId="99" xfId="36" applyFont="1" applyFill="1" applyBorder="1" applyAlignment="1">
      <alignment horizontal="center" vertical="center" wrapText="1"/>
    </xf>
    <xf numFmtId="0" fontId="68" fillId="4" borderId="101" xfId="36" applyFont="1" applyFill="1" applyBorder="1" applyAlignment="1">
      <alignment horizontal="center" vertical="center" wrapText="1"/>
    </xf>
    <xf numFmtId="0" fontId="68" fillId="4" borderId="99" xfId="36" applyFont="1" applyFill="1" applyBorder="1" applyAlignment="1">
      <alignment horizontal="center" vertical="center" wrapText="1"/>
    </xf>
    <xf numFmtId="0" fontId="11" fillId="2" borderId="104" xfId="0" applyFont="1" applyFill="1" applyBorder="1" applyAlignment="1">
      <alignment horizontal="center" vertical="center"/>
    </xf>
    <xf numFmtId="0" fontId="31" fillId="0" borderId="111" xfId="37" applyFont="1" applyBorder="1" applyAlignment="1">
      <alignment horizontal="center" vertical="center" wrapText="1"/>
    </xf>
    <xf numFmtId="0" fontId="79" fillId="6" borderId="76" xfId="37" applyFont="1" applyFill="1" applyBorder="1" applyAlignment="1">
      <alignment horizontal="center" vertical="center" wrapText="1"/>
    </xf>
    <xf numFmtId="49" fontId="11" fillId="8" borderId="101" xfId="37" applyNumberFormat="1" applyFont="1" applyFill="1" applyBorder="1" applyAlignment="1" applyProtection="1">
      <alignment horizontal="right" vertical="center" wrapText="1"/>
      <protection locked="0"/>
    </xf>
    <xf numFmtId="3" fontId="11" fillId="8" borderId="101" xfId="37" applyNumberFormat="1" applyFont="1" applyFill="1" applyBorder="1" applyAlignment="1" applyProtection="1">
      <alignment horizontal="right" vertical="center" wrapText="1"/>
      <protection locked="0"/>
    </xf>
    <xf numFmtId="170" fontId="23" fillId="8" borderId="99" xfId="30" applyNumberFormat="1" applyFont="1" applyFill="1" applyBorder="1" applyAlignment="1" applyProtection="1">
      <alignment horizontal="right" vertical="center" wrapText="1"/>
      <protection locked="0"/>
    </xf>
    <xf numFmtId="3" fontId="23" fillId="11" borderId="16" xfId="30" applyNumberFormat="1" applyFont="1" applyFill="1" applyBorder="1" applyAlignment="1" applyProtection="1">
      <alignment horizontal="right" vertical="center" wrapText="1"/>
      <protection locked="0"/>
    </xf>
    <xf numFmtId="3" fontId="23" fillId="11" borderId="101" xfId="30" applyNumberFormat="1" applyFont="1" applyFill="1" applyBorder="1" applyAlignment="1" applyProtection="1">
      <alignment horizontal="right" vertical="center" wrapText="1"/>
      <protection locked="0"/>
    </xf>
    <xf numFmtId="49" fontId="26" fillId="7" borderId="101" xfId="36" quotePrefix="1" applyNumberFormat="1" applyFont="1" applyFill="1" applyBorder="1" applyAlignment="1">
      <alignment horizontal="right" vertical="center" wrapText="1"/>
    </xf>
    <xf numFmtId="170" fontId="23" fillId="7" borderId="101" xfId="30" applyNumberFormat="1" applyFont="1" applyFill="1" applyBorder="1" applyAlignment="1" applyProtection="1">
      <alignment horizontal="right" vertical="center" wrapText="1"/>
    </xf>
    <xf numFmtId="171" fontId="26" fillId="7" borderId="101" xfId="37" applyNumberFormat="1" applyFont="1" applyFill="1" applyBorder="1" applyAlignment="1">
      <alignment horizontal="right" vertical="center" wrapText="1"/>
    </xf>
    <xf numFmtId="172" fontId="26" fillId="7" borderId="101" xfId="37" applyNumberFormat="1" applyFont="1" applyFill="1" applyBorder="1" applyAlignment="1">
      <alignment horizontal="right" vertical="center" wrapText="1"/>
    </xf>
    <xf numFmtId="4" fontId="29" fillId="7" borderId="101" xfId="30" applyNumberFormat="1" applyFont="1" applyFill="1" applyBorder="1" applyAlignment="1" applyProtection="1">
      <alignment horizontal="right" vertical="center" wrapText="1"/>
    </xf>
    <xf numFmtId="171" fontId="26" fillId="7" borderId="99" xfId="37" applyNumberFormat="1" applyFont="1" applyFill="1" applyBorder="1" applyAlignment="1">
      <alignment horizontal="right" vertical="center" wrapText="1"/>
    </xf>
    <xf numFmtId="0" fontId="26" fillId="2" borderId="27" xfId="37" applyFont="1" applyFill="1" applyBorder="1" applyAlignment="1">
      <alignment horizontal="center" vertical="center" wrapText="1"/>
    </xf>
    <xf numFmtId="0" fontId="11" fillId="2" borderId="104" xfId="0" applyFont="1" applyFill="1" applyBorder="1" applyAlignment="1">
      <alignment horizontal="center" vertical="center" wrapText="1"/>
    </xf>
    <xf numFmtId="3" fontId="11" fillId="8" borderId="99" xfId="37" applyNumberFormat="1" applyFont="1" applyFill="1" applyBorder="1" applyAlignment="1" applyProtection="1">
      <alignment horizontal="right" vertical="center" wrapText="1"/>
      <protection locked="0"/>
    </xf>
    <xf numFmtId="0" fontId="27" fillId="0" borderId="73" xfId="37" applyFont="1" applyBorder="1" applyAlignment="1">
      <alignment horizontal="center" vertical="center" wrapText="1"/>
    </xf>
    <xf numFmtId="10" fontId="24" fillId="7" borderId="101" xfId="31" applyNumberFormat="1" applyFont="1" applyFill="1" applyBorder="1" applyAlignment="1" applyProtection="1">
      <alignment horizontal="right" vertical="center" wrapText="1"/>
    </xf>
    <xf numFmtId="3" fontId="20" fillId="10" borderId="101" xfId="39" applyNumberFormat="1" applyFont="1" applyFill="1" applyBorder="1" applyAlignment="1" applyProtection="1">
      <alignment vertical="center" wrapText="1"/>
    </xf>
    <xf numFmtId="3" fontId="2" fillId="8" borderId="101" xfId="0" applyNumberFormat="1" applyFont="1" applyFill="1" applyBorder="1" applyAlignment="1" applyProtection="1">
      <alignment horizontal="right" vertical="center"/>
      <protection locked="0"/>
    </xf>
    <xf numFmtId="3" fontId="11" fillId="7" borderId="101" xfId="37" applyNumberFormat="1" applyFont="1" applyFill="1" applyBorder="1" applyAlignment="1">
      <alignment horizontal="right" vertical="center" wrapText="1"/>
    </xf>
    <xf numFmtId="3" fontId="11" fillId="23" borderId="101" xfId="37" applyNumberFormat="1" applyFont="1" applyFill="1" applyBorder="1" applyAlignment="1" applyProtection="1">
      <alignment horizontal="right" vertical="center" wrapText="1"/>
      <protection locked="0"/>
    </xf>
    <xf numFmtId="0" fontId="68" fillId="18" borderId="99" xfId="37" applyFont="1" applyFill="1" applyBorder="1" applyAlignment="1">
      <alignment horizontal="center" vertical="center" wrapText="1"/>
    </xf>
    <xf numFmtId="0" fontId="11" fillId="12" borderId="63" xfId="37" applyFont="1" applyFill="1" applyBorder="1" applyAlignment="1">
      <alignment horizontal="center" vertical="center" wrapText="1"/>
    </xf>
    <xf numFmtId="0" fontId="11" fillId="2" borderId="104" xfId="37" applyFont="1" applyFill="1" applyBorder="1" applyAlignment="1">
      <alignment horizontal="center" vertical="center" wrapText="1"/>
    </xf>
    <xf numFmtId="3" fontId="25" fillId="7" borderId="101" xfId="31" applyNumberFormat="1" applyFont="1" applyFill="1" applyBorder="1" applyAlignment="1" applyProtection="1">
      <alignment vertical="center"/>
    </xf>
    <xf numFmtId="4" fontId="11" fillId="8" borderId="101" xfId="37" applyNumberFormat="1" applyFont="1" applyFill="1" applyBorder="1" applyAlignment="1" applyProtection="1">
      <alignment vertical="center" wrapText="1"/>
      <protection locked="0"/>
    </xf>
    <xf numFmtId="0" fontId="11" fillId="2" borderId="63" xfId="40" applyFont="1" applyFill="1" applyBorder="1" applyAlignment="1">
      <alignment horizontal="center" vertical="center" wrapText="1"/>
    </xf>
    <xf numFmtId="0" fontId="11" fillId="2" borderId="104" xfId="40" applyFont="1" applyFill="1" applyBorder="1" applyAlignment="1">
      <alignment horizontal="center" vertical="center" wrapText="1"/>
    </xf>
    <xf numFmtId="0" fontId="27" fillId="0" borderId="111" xfId="0" applyFont="1" applyBorder="1"/>
    <xf numFmtId="0" fontId="99" fillId="0" borderId="4" xfId="0" applyFont="1" applyBorder="1" applyAlignment="1">
      <alignment horizontal="center" vertical="center" wrapText="1"/>
    </xf>
    <xf numFmtId="0" fontId="99" fillId="0" borderId="18" xfId="0" applyFont="1" applyBorder="1" applyAlignment="1">
      <alignment horizontal="center" vertical="center" wrapText="1"/>
    </xf>
    <xf numFmtId="0" fontId="29" fillId="12" borderId="58" xfId="36" applyFont="1" applyFill="1" applyBorder="1" applyAlignment="1">
      <alignment horizontal="center" vertical="center" wrapText="1"/>
    </xf>
    <xf numFmtId="0" fontId="29" fillId="12" borderId="2" xfId="36" applyFont="1" applyFill="1" applyBorder="1" applyAlignment="1">
      <alignment vertical="center" wrapText="1"/>
    </xf>
    <xf numFmtId="0" fontId="68" fillId="0" borderId="118" xfId="36" applyFont="1" applyBorder="1" applyAlignment="1">
      <alignment horizontal="center" vertical="center" wrapText="1"/>
    </xf>
    <xf numFmtId="0" fontId="26" fillId="2" borderId="74" xfId="36" applyFont="1" applyFill="1" applyBorder="1" applyAlignment="1">
      <alignment horizontal="center" vertical="center" wrapText="1"/>
    </xf>
    <xf numFmtId="0" fontId="11" fillId="2" borderId="120" xfId="36" applyFont="1" applyFill="1" applyBorder="1" applyAlignment="1">
      <alignment horizontal="center" vertical="center" wrapText="1"/>
    </xf>
    <xf numFmtId="49" fontId="11" fillId="8" borderId="118" xfId="36" applyNumberFormat="1" applyFont="1" applyFill="1" applyBorder="1" applyAlignment="1" applyProtection="1">
      <alignment horizontal="right" vertical="center" wrapText="1"/>
      <protection locked="0"/>
    </xf>
    <xf numFmtId="0" fontId="27" fillId="0" borderId="93" xfId="37" applyFont="1" applyBorder="1" applyAlignment="1">
      <alignment horizontal="center" vertical="center" wrapText="1"/>
    </xf>
    <xf numFmtId="0" fontId="68" fillId="18" borderId="118" xfId="36" applyFont="1" applyFill="1" applyBorder="1" applyAlignment="1">
      <alignment horizontal="center" vertical="center" wrapText="1"/>
    </xf>
    <xf numFmtId="178" fontId="23" fillId="8" borderId="101" xfId="30" applyNumberFormat="1" applyFont="1" applyFill="1" applyBorder="1" applyAlignment="1" applyProtection="1">
      <alignment horizontal="right" vertical="center" wrapText="1"/>
      <protection locked="0"/>
    </xf>
    <xf numFmtId="4" fontId="11" fillId="8" borderId="101" xfId="37" applyNumberFormat="1" applyFont="1" applyFill="1" applyBorder="1" applyAlignment="1" applyProtection="1">
      <alignment horizontal="right" vertical="center" wrapText="1"/>
      <protection locked="0"/>
    </xf>
    <xf numFmtId="0" fontId="68" fillId="27" borderId="57" xfId="36" applyFont="1" applyFill="1" applyBorder="1" applyAlignment="1">
      <alignment horizontal="center" vertical="center" wrapText="1"/>
    </xf>
    <xf numFmtId="0" fontId="74" fillId="0" borderId="134" xfId="69" applyBorder="1"/>
    <xf numFmtId="168" fontId="26" fillId="2" borderId="123" xfId="7" applyFont="1" applyFill="1" applyBorder="1" applyAlignment="1">
      <alignment horizontal="center" vertical="center" wrapText="1"/>
    </xf>
    <xf numFmtId="0" fontId="26" fillId="7" borderId="118" xfId="37" applyFont="1" applyFill="1" applyBorder="1" applyAlignment="1">
      <alignment horizontal="right" vertical="center" wrapText="1"/>
    </xf>
    <xf numFmtId="49" fontId="11" fillId="8" borderId="101" xfId="36" applyNumberFormat="1" applyFont="1" applyFill="1" applyBorder="1" applyAlignment="1" applyProtection="1">
      <alignment horizontal="right" vertical="center" wrapText="1"/>
      <protection locked="0"/>
    </xf>
    <xf numFmtId="49" fontId="11" fillId="8" borderId="135" xfId="37" applyNumberFormat="1" applyFont="1" applyFill="1" applyBorder="1" applyAlignment="1" applyProtection="1">
      <alignment horizontal="right" vertical="center" wrapText="1"/>
      <protection locked="0"/>
    </xf>
    <xf numFmtId="3" fontId="11" fillId="8" borderId="135" xfId="37" applyNumberFormat="1" applyFont="1" applyFill="1" applyBorder="1" applyAlignment="1" applyProtection="1">
      <alignment vertical="center" wrapText="1"/>
      <protection locked="0"/>
    </xf>
    <xf numFmtId="3" fontId="11" fillId="8" borderId="102" xfId="37" applyNumberFormat="1" applyFont="1" applyFill="1" applyBorder="1" applyAlignment="1" applyProtection="1">
      <alignment vertical="center" wrapText="1"/>
      <protection locked="0"/>
    </xf>
    <xf numFmtId="0" fontId="79" fillId="28" borderId="20" xfId="37" applyFont="1" applyFill="1" applyBorder="1" applyAlignment="1">
      <alignment horizontal="center" vertical="center" wrapText="1"/>
    </xf>
    <xf numFmtId="3" fontId="11" fillId="28" borderId="17" xfId="37" applyNumberFormat="1" applyFont="1" applyFill="1" applyBorder="1" applyAlignment="1" applyProtection="1">
      <alignment vertical="center" wrapText="1"/>
      <protection locked="0"/>
    </xf>
    <xf numFmtId="3" fontId="11" fillId="28" borderId="100" xfId="37" applyNumberFormat="1" applyFont="1" applyFill="1" applyBorder="1" applyAlignment="1" applyProtection="1">
      <alignment vertical="center" wrapText="1"/>
      <protection locked="0"/>
    </xf>
    <xf numFmtId="49" fontId="11" fillId="28" borderId="98" xfId="36" applyNumberFormat="1" applyFont="1" applyFill="1" applyBorder="1" applyAlignment="1" applyProtection="1">
      <alignment horizontal="right" vertical="center" wrapText="1"/>
      <protection locked="0"/>
    </xf>
    <xf numFmtId="3" fontId="11" fillId="28" borderId="17" xfId="37" applyNumberFormat="1" applyFont="1" applyFill="1" applyBorder="1" applyAlignment="1">
      <alignment vertical="center" wrapText="1"/>
    </xf>
    <xf numFmtId="3" fontId="25" fillId="28" borderId="100" xfId="31" applyNumberFormat="1" applyFont="1" applyFill="1" applyBorder="1" applyAlignment="1" applyProtection="1">
      <alignment vertical="center"/>
    </xf>
    <xf numFmtId="3" fontId="11" fillId="28" borderId="100" xfId="37" applyNumberFormat="1" applyFont="1" applyFill="1" applyBorder="1" applyAlignment="1">
      <alignment vertical="center" wrapText="1"/>
    </xf>
    <xf numFmtId="3" fontId="11" fillId="28" borderId="98" xfId="37" applyNumberFormat="1" applyFont="1" applyFill="1" applyBorder="1" applyAlignment="1" applyProtection="1">
      <alignment vertical="center" wrapText="1"/>
      <protection locked="0"/>
    </xf>
    <xf numFmtId="49" fontId="11" fillId="28" borderId="17" xfId="37" applyNumberFormat="1" applyFont="1" applyFill="1" applyBorder="1" applyAlignment="1">
      <alignment horizontal="right" vertical="center" wrapText="1"/>
    </xf>
    <xf numFmtId="49" fontId="11" fillId="28" borderId="127" xfId="37" applyNumberFormat="1" applyFont="1" applyFill="1" applyBorder="1" applyAlignment="1">
      <alignment horizontal="right" vertical="center" wrapText="1"/>
    </xf>
    <xf numFmtId="49" fontId="11" fillId="28" borderId="128" xfId="37" applyNumberFormat="1" applyFont="1" applyFill="1" applyBorder="1" applyAlignment="1">
      <alignment horizontal="right" vertical="center" wrapText="1"/>
    </xf>
    <xf numFmtId="3" fontId="11" fillId="28" borderId="100" xfId="37" applyNumberFormat="1" applyFont="1" applyFill="1" applyBorder="1" applyAlignment="1" applyProtection="1">
      <alignment horizontal="right" vertical="center" wrapText="1"/>
      <protection locked="0"/>
    </xf>
    <xf numFmtId="4" fontId="11" fillId="28" borderId="100" xfId="37" applyNumberFormat="1" applyFont="1" applyFill="1" applyBorder="1" applyAlignment="1" applyProtection="1">
      <alignment horizontal="right" vertical="center" wrapText="1"/>
      <protection locked="0"/>
    </xf>
    <xf numFmtId="4" fontId="11" fillId="28" borderId="100" xfId="37" applyNumberFormat="1" applyFont="1" applyFill="1" applyBorder="1" applyAlignment="1" applyProtection="1">
      <alignment vertical="center" wrapText="1"/>
      <protection locked="0"/>
    </xf>
    <xf numFmtId="3" fontId="11" fillId="28" borderId="100" xfId="37" applyNumberFormat="1" applyFont="1" applyFill="1" applyBorder="1" applyAlignment="1">
      <alignment horizontal="right" vertical="center" wrapText="1"/>
    </xf>
    <xf numFmtId="170" fontId="11" fillId="28" borderId="17" xfId="37" applyNumberFormat="1" applyFont="1" applyFill="1" applyBorder="1" applyAlignment="1">
      <alignment horizontal="right" vertical="center" wrapText="1"/>
    </xf>
    <xf numFmtId="170" fontId="23" fillId="28" borderId="100" xfId="30" applyNumberFormat="1" applyFont="1" applyFill="1" applyBorder="1" applyAlignment="1" applyProtection="1">
      <alignment horizontal="right" vertical="center" wrapText="1"/>
      <protection locked="0"/>
    </xf>
    <xf numFmtId="170" fontId="23" fillId="28" borderId="100" xfId="30" applyNumberFormat="1" applyFont="1" applyFill="1" applyBorder="1" applyAlignment="1" applyProtection="1">
      <alignment horizontal="right" vertical="center" wrapText="1"/>
    </xf>
    <xf numFmtId="170" fontId="23" fillId="28" borderId="98" xfId="30" applyNumberFormat="1" applyFont="1" applyFill="1" applyBorder="1" applyAlignment="1" applyProtection="1">
      <alignment horizontal="right" vertical="center" wrapText="1"/>
      <protection locked="0"/>
    </xf>
    <xf numFmtId="3" fontId="11" fillId="28" borderId="17" xfId="37" applyNumberFormat="1" applyFont="1" applyFill="1" applyBorder="1" applyAlignment="1">
      <alignment horizontal="right" vertical="center" wrapText="1"/>
    </xf>
    <xf numFmtId="3" fontId="11" fillId="28" borderId="98" xfId="37" applyNumberFormat="1" applyFont="1" applyFill="1" applyBorder="1" applyAlignment="1" applyProtection="1">
      <alignment horizontal="right" vertical="center" wrapText="1"/>
      <protection locked="0"/>
    </xf>
    <xf numFmtId="0" fontId="79" fillId="29" borderId="30" xfId="37" applyFont="1" applyFill="1" applyBorder="1" applyAlignment="1">
      <alignment horizontal="center" vertical="center" wrapText="1"/>
    </xf>
    <xf numFmtId="49" fontId="11" fillId="29" borderId="17" xfId="36" applyNumberFormat="1" applyFont="1" applyFill="1" applyBorder="1" applyAlignment="1" applyProtection="1">
      <alignment horizontal="right" vertical="center" wrapText="1"/>
      <protection locked="0"/>
    </xf>
    <xf numFmtId="3" fontId="11" fillId="29" borderId="100" xfId="37" applyNumberFormat="1" applyFont="1" applyFill="1" applyBorder="1" applyAlignment="1" applyProtection="1">
      <alignment vertical="center" wrapText="1"/>
      <protection locked="0"/>
    </xf>
    <xf numFmtId="3" fontId="11" fillId="29" borderId="98" xfId="37" applyNumberFormat="1" applyFont="1" applyFill="1" applyBorder="1" applyAlignment="1" applyProtection="1">
      <alignment horizontal="right" vertical="center" wrapText="1"/>
      <protection locked="0"/>
    </xf>
    <xf numFmtId="49" fontId="11" fillId="29" borderId="98" xfId="36" applyNumberFormat="1" applyFont="1" applyFill="1" applyBorder="1" applyAlignment="1" applyProtection="1">
      <alignment horizontal="right" vertical="center" wrapText="1"/>
      <protection locked="0"/>
    </xf>
    <xf numFmtId="3" fontId="11" fillId="29" borderId="17" xfId="37" applyNumberFormat="1" applyFont="1" applyFill="1" applyBorder="1" applyAlignment="1" applyProtection="1">
      <alignment horizontal="right" vertical="center" wrapText="1"/>
      <protection locked="0"/>
    </xf>
    <xf numFmtId="3" fontId="11" fillId="29" borderId="100" xfId="37" applyNumberFormat="1" applyFont="1" applyFill="1" applyBorder="1" applyAlignment="1" applyProtection="1">
      <alignment horizontal="right" vertical="center" wrapText="1"/>
      <protection locked="0"/>
    </xf>
    <xf numFmtId="172" fontId="26" fillId="29" borderId="100" xfId="37" applyNumberFormat="1" applyFont="1" applyFill="1" applyBorder="1" applyAlignment="1">
      <alignment horizontal="right" vertical="center" wrapText="1"/>
    </xf>
    <xf numFmtId="10" fontId="24" fillId="29" borderId="100" xfId="31" applyNumberFormat="1" applyFont="1" applyFill="1" applyBorder="1" applyAlignment="1" applyProtection="1">
      <alignment horizontal="right" vertical="center" wrapText="1"/>
    </xf>
    <xf numFmtId="49" fontId="26" fillId="29" borderId="100" xfId="37" applyNumberFormat="1" applyFont="1" applyFill="1" applyBorder="1" applyAlignment="1">
      <alignment horizontal="right" vertical="center" wrapText="1"/>
    </xf>
    <xf numFmtId="3" fontId="26" fillId="29" borderId="100" xfId="37" applyNumberFormat="1" applyFont="1" applyFill="1" applyBorder="1" applyAlignment="1">
      <alignment horizontal="right" vertical="center" wrapText="1"/>
    </xf>
    <xf numFmtId="49" fontId="11" fillId="29" borderId="100" xfId="37" applyNumberFormat="1" applyFont="1" applyFill="1" applyBorder="1" applyAlignment="1" applyProtection="1">
      <alignment horizontal="right" vertical="center" wrapText="1"/>
      <protection locked="0"/>
    </xf>
    <xf numFmtId="3" fontId="20" fillId="29" borderId="100" xfId="39" applyNumberFormat="1" applyFont="1" applyFill="1" applyBorder="1" applyAlignment="1" applyProtection="1">
      <alignment vertical="center" wrapText="1"/>
    </xf>
    <xf numFmtId="10" fontId="2" fillId="29" borderId="100" xfId="31" applyNumberFormat="1" applyFont="1" applyFill="1" applyBorder="1" applyAlignment="1" applyProtection="1">
      <alignment horizontal="right" vertical="center"/>
    </xf>
    <xf numFmtId="3" fontId="2" fillId="29" borderId="100" xfId="0" applyNumberFormat="1" applyFont="1" applyFill="1" applyBorder="1" applyAlignment="1" applyProtection="1">
      <alignment horizontal="right" vertical="center"/>
      <protection locked="0"/>
    </xf>
    <xf numFmtId="177" fontId="2" fillId="29" borderId="100" xfId="0" applyNumberFormat="1" applyFont="1" applyFill="1" applyBorder="1" applyAlignment="1" applyProtection="1">
      <alignment horizontal="right" vertical="center"/>
      <protection locked="0"/>
    </xf>
    <xf numFmtId="3" fontId="23" fillId="30" borderId="100" xfId="30" applyNumberFormat="1" applyFont="1" applyFill="1" applyBorder="1" applyAlignment="1" applyProtection="1">
      <alignment horizontal="right" vertical="center" wrapText="1"/>
      <protection locked="0"/>
    </xf>
    <xf numFmtId="3" fontId="23" fillId="30" borderId="17" xfId="30" applyNumberFormat="1" applyFont="1" applyFill="1" applyBorder="1" applyAlignment="1" applyProtection="1">
      <alignment horizontal="right" vertical="center" wrapText="1"/>
      <protection locked="0"/>
    </xf>
    <xf numFmtId="49" fontId="26" fillId="30" borderId="100" xfId="36" quotePrefix="1" applyNumberFormat="1" applyFont="1" applyFill="1" applyBorder="1" applyAlignment="1">
      <alignment horizontal="right" vertical="center" wrapText="1"/>
    </xf>
    <xf numFmtId="49" fontId="29" fillId="30" borderId="100" xfId="30" applyNumberFormat="1" applyFont="1" applyFill="1" applyBorder="1" applyAlignment="1" applyProtection="1">
      <alignment horizontal="right" vertical="center" wrapText="1"/>
      <protection locked="0"/>
    </xf>
    <xf numFmtId="0" fontId="79" fillId="28" borderId="30" xfId="37" applyFont="1" applyFill="1" applyBorder="1" applyAlignment="1">
      <alignment horizontal="center" vertical="center" wrapText="1"/>
    </xf>
    <xf numFmtId="49" fontId="11" fillId="28" borderId="17" xfId="36" applyNumberFormat="1" applyFont="1" applyFill="1" applyBorder="1" applyAlignment="1" applyProtection="1">
      <alignment horizontal="right" vertical="center" wrapText="1"/>
      <protection locked="0"/>
    </xf>
    <xf numFmtId="49" fontId="11" fillId="28" borderId="100" xfId="37" applyNumberFormat="1" applyFont="1" applyFill="1" applyBorder="1" applyAlignment="1" applyProtection="1">
      <alignment horizontal="right" vertical="center" wrapText="1"/>
      <protection locked="0"/>
    </xf>
    <xf numFmtId="3" fontId="23" fillId="28" borderId="17" xfId="30" applyNumberFormat="1" applyFont="1" applyFill="1" applyBorder="1" applyAlignment="1" applyProtection="1">
      <alignment horizontal="right" vertical="center" wrapText="1"/>
      <protection locked="0"/>
    </xf>
    <xf numFmtId="3" fontId="23" fillId="28" borderId="100" xfId="30" applyNumberFormat="1" applyFont="1" applyFill="1" applyBorder="1" applyAlignment="1" applyProtection="1">
      <alignment horizontal="right" vertical="center" wrapText="1"/>
      <protection locked="0"/>
    </xf>
    <xf numFmtId="49" fontId="26" fillId="28" borderId="100" xfId="36" quotePrefix="1" applyNumberFormat="1" applyFont="1" applyFill="1" applyBorder="1" applyAlignment="1">
      <alignment horizontal="right" vertical="center" wrapText="1"/>
    </xf>
    <xf numFmtId="49" fontId="26" fillId="28" borderId="100" xfId="36" applyNumberFormat="1" applyFont="1" applyFill="1" applyBorder="1" applyAlignment="1" applyProtection="1">
      <alignment horizontal="right" vertical="center" wrapText="1"/>
      <protection locked="0"/>
    </xf>
    <xf numFmtId="170" fontId="23" fillId="28" borderId="17" xfId="30" applyNumberFormat="1" applyFont="1" applyFill="1" applyBorder="1" applyAlignment="1" applyProtection="1">
      <alignment horizontal="right" vertical="center" wrapText="1"/>
      <protection locked="0"/>
    </xf>
    <xf numFmtId="171" fontId="26" fillId="28" borderId="100" xfId="37" applyNumberFormat="1" applyFont="1" applyFill="1" applyBorder="1" applyAlignment="1">
      <alignment horizontal="right" vertical="center" wrapText="1"/>
    </xf>
    <xf numFmtId="172" fontId="26" fillId="28" borderId="100" xfId="37" applyNumberFormat="1" applyFont="1" applyFill="1" applyBorder="1" applyAlignment="1">
      <alignment horizontal="right" vertical="center" wrapText="1"/>
    </xf>
    <xf numFmtId="0" fontId="26" fillId="28" borderId="100" xfId="37" applyFont="1" applyFill="1" applyBorder="1" applyAlignment="1">
      <alignment horizontal="right" vertical="center" wrapText="1"/>
    </xf>
    <xf numFmtId="49" fontId="26" fillId="28" borderId="100" xfId="37" applyNumberFormat="1" applyFont="1" applyFill="1" applyBorder="1" applyAlignment="1">
      <alignment horizontal="right" vertical="center" wrapText="1"/>
    </xf>
    <xf numFmtId="178" fontId="23" fillId="28" borderId="100" xfId="30" applyNumberFormat="1" applyFont="1" applyFill="1" applyBorder="1" applyAlignment="1" applyProtection="1">
      <alignment horizontal="right" vertical="center" wrapText="1"/>
      <protection locked="0"/>
    </xf>
    <xf numFmtId="4" fontId="29" fillId="28" borderId="100" xfId="30" applyNumberFormat="1" applyFont="1" applyFill="1" applyBorder="1" applyAlignment="1" applyProtection="1">
      <alignment horizontal="right" vertical="center" wrapText="1"/>
    </xf>
    <xf numFmtId="4" fontId="26" fillId="28" borderId="100" xfId="37" applyNumberFormat="1" applyFont="1" applyFill="1" applyBorder="1" applyAlignment="1">
      <alignment horizontal="right" vertical="center" wrapText="1"/>
    </xf>
    <xf numFmtId="171" fontId="26" fillId="28" borderId="98" xfId="37" applyNumberFormat="1" applyFont="1" applyFill="1" applyBorder="1" applyAlignment="1">
      <alignment horizontal="right" vertical="center" wrapText="1"/>
    </xf>
    <xf numFmtId="49" fontId="11" fillId="28" borderId="13" xfId="36" applyNumberFormat="1" applyFont="1" applyFill="1" applyBorder="1" applyAlignment="1" applyProtection="1">
      <alignment horizontal="right" vertical="center" wrapText="1"/>
      <protection locked="0"/>
    </xf>
    <xf numFmtId="49" fontId="11" fillId="28" borderId="54" xfId="37" applyNumberFormat="1" applyFont="1" applyFill="1" applyBorder="1" applyAlignment="1" applyProtection="1">
      <alignment horizontal="right" vertical="center" wrapText="1"/>
      <protection locked="0"/>
    </xf>
    <xf numFmtId="3" fontId="11" fillId="28" borderId="54" xfId="37" applyNumberFormat="1" applyFont="1" applyFill="1" applyBorder="1" applyAlignment="1" applyProtection="1">
      <alignment horizontal="right" vertical="center" wrapText="1"/>
      <protection locked="0"/>
    </xf>
    <xf numFmtId="3" fontId="11" fillId="28" borderId="13" xfId="36" applyNumberFormat="1" applyFont="1" applyFill="1" applyBorder="1" applyAlignment="1" applyProtection="1">
      <alignment horizontal="right" vertical="center" wrapText="1"/>
      <protection locked="0"/>
    </xf>
    <xf numFmtId="3" fontId="11" fillId="28" borderId="55" xfId="37" applyNumberFormat="1" applyFont="1" applyFill="1" applyBorder="1" applyAlignment="1" applyProtection="1">
      <alignment vertical="center" wrapText="1"/>
      <protection locked="0"/>
    </xf>
    <xf numFmtId="172" fontId="29" fillId="28" borderId="100" xfId="36" applyNumberFormat="1" applyFont="1" applyFill="1" applyBorder="1" applyAlignment="1">
      <alignment horizontal="right" vertical="center" wrapText="1"/>
    </xf>
    <xf numFmtId="3" fontId="26" fillId="28" borderId="100" xfId="37" applyNumberFormat="1" applyFont="1" applyFill="1" applyBorder="1" applyAlignment="1">
      <alignment vertical="center" wrapText="1"/>
    </xf>
    <xf numFmtId="172" fontId="26" fillId="28" borderId="100" xfId="31" applyNumberFormat="1" applyFont="1" applyFill="1" applyBorder="1" applyAlignment="1" applyProtection="1">
      <alignment horizontal="right" vertical="center" wrapText="1"/>
    </xf>
    <xf numFmtId="172" fontId="11" fillId="28" borderId="98" xfId="31" applyNumberFormat="1" applyFont="1" applyFill="1" applyBorder="1" applyAlignment="1" applyProtection="1">
      <alignment horizontal="right" vertical="center" wrapText="1"/>
    </xf>
    <xf numFmtId="3" fontId="26" fillId="28" borderId="100" xfId="37" applyNumberFormat="1" applyFont="1" applyFill="1" applyBorder="1" applyAlignment="1" applyProtection="1">
      <alignment vertical="center" wrapText="1"/>
      <protection locked="0"/>
    </xf>
    <xf numFmtId="10" fontId="26" fillId="28" borderId="98" xfId="31" applyNumberFormat="1" applyFont="1" applyFill="1" applyBorder="1" applyAlignment="1" applyProtection="1">
      <alignment horizontal="right" vertical="center" wrapText="1"/>
    </xf>
    <xf numFmtId="49" fontId="26" fillId="28" borderId="17" xfId="36" applyNumberFormat="1" applyFont="1" applyFill="1" applyBorder="1" applyAlignment="1" applyProtection="1">
      <alignment horizontal="right" vertical="center" wrapText="1"/>
      <protection locked="0"/>
    </xf>
    <xf numFmtId="3" fontId="26" fillId="28" borderId="100" xfId="37" applyNumberFormat="1" applyFont="1" applyFill="1" applyBorder="1" applyAlignment="1">
      <alignment horizontal="right" vertical="center" wrapText="1"/>
    </xf>
    <xf numFmtId="172" fontId="26" fillId="28" borderId="98" xfId="31" applyNumberFormat="1" applyFont="1" applyFill="1" applyBorder="1" applyAlignment="1" applyProtection="1">
      <alignment vertical="center" wrapText="1"/>
      <protection locked="0"/>
    </xf>
    <xf numFmtId="49" fontId="11" fillId="28" borderId="100" xfId="36" applyNumberFormat="1" applyFont="1" applyFill="1" applyBorder="1" applyAlignment="1" applyProtection="1">
      <alignment horizontal="right" vertical="center" wrapText="1"/>
      <protection locked="0"/>
    </xf>
    <xf numFmtId="3" fontId="11" fillId="28" borderId="100" xfId="36" applyNumberFormat="1" applyFont="1" applyFill="1" applyBorder="1" applyAlignment="1" applyProtection="1">
      <alignment horizontal="right" vertical="center" wrapText="1"/>
      <protection locked="0"/>
    </xf>
    <xf numFmtId="49" fontId="11" fillId="28" borderId="100" xfId="36" quotePrefix="1" applyNumberFormat="1" applyFont="1" applyFill="1" applyBorder="1" applyAlignment="1">
      <alignment horizontal="right" vertical="center" wrapText="1"/>
    </xf>
    <xf numFmtId="49" fontId="29" fillId="28" borderId="100" xfId="36" applyNumberFormat="1" applyFont="1" applyFill="1" applyBorder="1" applyAlignment="1">
      <alignment horizontal="right" vertical="center" wrapText="1"/>
    </xf>
    <xf numFmtId="174" fontId="26" fillId="28" borderId="100" xfId="37" quotePrefix="1" applyNumberFormat="1" applyFont="1" applyFill="1" applyBorder="1" applyAlignment="1">
      <alignment vertical="center"/>
    </xf>
    <xf numFmtId="10" fontId="26" fillId="28" borderId="100" xfId="37" quotePrefix="1" applyNumberFormat="1" applyFont="1" applyFill="1" applyBorder="1" applyAlignment="1">
      <alignment vertical="center"/>
    </xf>
    <xf numFmtId="173" fontId="26" fillId="28" borderId="100" xfId="37" quotePrefix="1" applyNumberFormat="1" applyFont="1" applyFill="1" applyBorder="1" applyAlignment="1">
      <alignment vertical="center"/>
    </xf>
    <xf numFmtId="0" fontId="24" fillId="28" borderId="100" xfId="37" applyFont="1" applyFill="1" applyBorder="1" applyAlignment="1">
      <alignment horizontal="right" vertical="center" wrapText="1"/>
    </xf>
    <xf numFmtId="4" fontId="24" fillId="28" borderId="100" xfId="31" applyNumberFormat="1" applyFont="1" applyFill="1" applyBorder="1" applyAlignment="1" applyProtection="1">
      <alignment vertical="center"/>
    </xf>
    <xf numFmtId="10" fontId="24" fillId="28" borderId="98" xfId="31" applyNumberFormat="1" applyFont="1" applyFill="1" applyBorder="1" applyAlignment="1" applyProtection="1">
      <alignment vertical="center"/>
    </xf>
    <xf numFmtId="0" fontId="26" fillId="28" borderId="17" xfId="0" applyFont="1" applyFill="1" applyBorder="1" applyAlignment="1">
      <alignment horizontal="center" vertical="center" wrapText="1"/>
    </xf>
    <xf numFmtId="0" fontId="53" fillId="28" borderId="55" xfId="0" applyFont="1" applyFill="1" applyBorder="1" applyAlignment="1">
      <alignment horizontal="center" vertical="center"/>
    </xf>
    <xf numFmtId="0" fontId="68" fillId="28" borderId="17" xfId="36" applyFont="1" applyFill="1" applyBorder="1" applyAlignment="1">
      <alignment horizontal="center" vertical="center" wrapText="1"/>
    </xf>
    <xf numFmtId="0" fontId="68" fillId="28" borderId="100" xfId="36" applyFont="1" applyFill="1" applyBorder="1" applyAlignment="1">
      <alignment horizontal="center" vertical="center" wrapText="1"/>
    </xf>
    <xf numFmtId="0" fontId="68" fillId="28" borderId="100" xfId="37" applyFont="1" applyFill="1" applyBorder="1" applyAlignment="1">
      <alignment horizontal="center" vertical="center" wrapText="1"/>
    </xf>
    <xf numFmtId="0" fontId="68" fillId="28" borderId="98" xfId="37" applyFont="1" applyFill="1" applyBorder="1" applyAlignment="1">
      <alignment horizontal="center" vertical="center" wrapText="1"/>
    </xf>
    <xf numFmtId="0" fontId="68" fillId="28" borderId="98" xfId="36" applyFont="1" applyFill="1" applyBorder="1" applyAlignment="1">
      <alignment horizontal="center" vertical="center" wrapText="1"/>
    </xf>
    <xf numFmtId="0" fontId="24" fillId="28" borderId="30" xfId="37" applyFont="1" applyFill="1" applyBorder="1" applyAlignment="1">
      <alignment horizontal="center" vertical="center" wrapText="1"/>
    </xf>
    <xf numFmtId="0" fontId="69" fillId="28" borderId="17" xfId="0" applyFont="1" applyFill="1" applyBorder="1"/>
    <xf numFmtId="0" fontId="24" fillId="31" borderId="20" xfId="37" applyFont="1" applyFill="1" applyBorder="1" applyAlignment="1">
      <alignment horizontal="center" vertical="center" wrapText="1"/>
    </xf>
    <xf numFmtId="0" fontId="68" fillId="31" borderId="17" xfId="36" applyFont="1" applyFill="1" applyBorder="1" applyAlignment="1">
      <alignment horizontal="center" vertical="center" wrapText="1"/>
    </xf>
    <xf numFmtId="0" fontId="68" fillId="31" borderId="100" xfId="36" applyFont="1" applyFill="1" applyBorder="1" applyAlignment="1">
      <alignment horizontal="center" vertical="center" wrapText="1"/>
    </xf>
    <xf numFmtId="0" fontId="68" fillId="31" borderId="98" xfId="36" applyFont="1" applyFill="1" applyBorder="1" applyAlignment="1">
      <alignment horizontal="center" vertical="center" wrapText="1"/>
    </xf>
    <xf numFmtId="0" fontId="69" fillId="31" borderId="98" xfId="37" applyFont="1" applyFill="1" applyBorder="1" applyAlignment="1">
      <alignment horizontal="center" vertical="center" wrapText="1"/>
    </xf>
    <xf numFmtId="0" fontId="69" fillId="31" borderId="100" xfId="0" applyFont="1" applyFill="1" applyBorder="1"/>
    <xf numFmtId="0" fontId="68" fillId="31" borderId="100" xfId="37" applyFont="1" applyFill="1" applyBorder="1" applyAlignment="1">
      <alignment horizontal="center" vertical="center" wrapText="1"/>
    </xf>
    <xf numFmtId="0" fontId="69" fillId="31" borderId="100" xfId="37" applyFont="1" applyFill="1" applyBorder="1" applyAlignment="1">
      <alignment horizontal="center" vertical="center" wrapText="1"/>
    </xf>
    <xf numFmtId="0" fontId="71" fillId="31" borderId="98" xfId="37" applyFont="1" applyFill="1" applyBorder="1" applyAlignment="1">
      <alignment horizontal="center" vertical="center" wrapText="1"/>
    </xf>
    <xf numFmtId="0" fontId="68" fillId="31" borderId="98" xfId="37" applyFont="1" applyFill="1" applyBorder="1" applyAlignment="1">
      <alignment horizontal="center" vertical="center" wrapText="1"/>
    </xf>
    <xf numFmtId="0" fontId="69" fillId="31" borderId="17" xfId="37" applyFont="1" applyFill="1" applyBorder="1" applyAlignment="1">
      <alignment horizontal="center" vertical="center" wrapText="1"/>
    </xf>
    <xf numFmtId="0" fontId="69" fillId="31" borderId="55" xfId="37" applyFont="1" applyFill="1" applyBorder="1" applyAlignment="1">
      <alignment horizontal="center" vertical="center" wrapText="1"/>
    </xf>
    <xf numFmtId="0" fontId="69" fillId="31" borderId="17" xfId="0" applyFont="1" applyFill="1" applyBorder="1"/>
    <xf numFmtId="3" fontId="11" fillId="11" borderId="101" xfId="37" applyNumberFormat="1" applyFont="1" applyFill="1" applyBorder="1" applyAlignment="1" applyProtection="1">
      <alignment horizontal="right" vertical="center" wrapText="1"/>
      <protection locked="0"/>
    </xf>
    <xf numFmtId="3" fontId="11" fillId="11" borderId="101" xfId="37" applyNumberFormat="1" applyFont="1" applyFill="1" applyBorder="1" applyAlignment="1" applyProtection="1">
      <alignment vertical="center" wrapText="1"/>
      <protection locked="0"/>
    </xf>
    <xf numFmtId="49" fontId="29" fillId="11" borderId="101" xfId="30" applyNumberFormat="1" applyFont="1" applyFill="1" applyBorder="1" applyAlignment="1" applyProtection="1">
      <alignment horizontal="right" vertical="center" wrapText="1"/>
      <protection locked="0"/>
    </xf>
    <xf numFmtId="0" fontId="79" fillId="31" borderId="30" xfId="37" applyFont="1" applyFill="1" applyBorder="1" applyAlignment="1">
      <alignment horizontal="center" vertical="center" wrapText="1"/>
    </xf>
    <xf numFmtId="49" fontId="11" fillId="31" borderId="54" xfId="36" applyNumberFormat="1" applyFont="1" applyFill="1" applyBorder="1" applyAlignment="1" applyProtection="1">
      <alignment horizontal="right" vertical="center" wrapText="1"/>
      <protection locked="0"/>
    </xf>
    <xf numFmtId="49" fontId="11" fillId="31" borderId="55" xfId="36" applyNumberFormat="1" applyFont="1" applyFill="1" applyBorder="1" applyAlignment="1" applyProtection="1">
      <alignment horizontal="right" vertical="center" wrapText="1"/>
      <protection locked="0"/>
    </xf>
    <xf numFmtId="49" fontId="26" fillId="31" borderId="28" xfId="36" applyNumberFormat="1" applyFont="1" applyFill="1" applyBorder="1" applyAlignment="1" applyProtection="1">
      <alignment horizontal="right" vertical="center" wrapText="1"/>
      <protection locked="0"/>
    </xf>
    <xf numFmtId="172" fontId="11" fillId="31" borderId="88" xfId="31" applyNumberFormat="1" applyFont="1" applyFill="1" applyBorder="1" applyAlignment="1" applyProtection="1">
      <alignment horizontal="right" vertical="center" wrapText="1"/>
    </xf>
    <xf numFmtId="3" fontId="26" fillId="31" borderId="17" xfId="37" applyNumberFormat="1" applyFont="1" applyFill="1" applyBorder="1" applyAlignment="1" applyProtection="1">
      <alignment vertical="center" wrapText="1"/>
      <protection locked="0"/>
    </xf>
    <xf numFmtId="0" fontId="24" fillId="31" borderId="30" xfId="37" applyFont="1" applyFill="1" applyBorder="1" applyAlignment="1">
      <alignment horizontal="center" vertical="center" wrapText="1"/>
    </xf>
    <xf numFmtId="0" fontId="69" fillId="31" borderId="54" xfId="0" applyFont="1" applyFill="1" applyBorder="1"/>
    <xf numFmtId="0" fontId="68" fillId="31" borderId="54" xfId="36" applyFont="1" applyFill="1" applyBorder="1" applyAlignment="1">
      <alignment horizontal="center" vertical="center" wrapText="1"/>
    </xf>
    <xf numFmtId="0" fontId="68" fillId="31" borderId="55" xfId="36" applyFont="1" applyFill="1" applyBorder="1" applyAlignment="1">
      <alignment horizontal="center" vertical="center" wrapText="1"/>
    </xf>
    <xf numFmtId="0" fontId="69" fillId="31" borderId="98" xfId="0" applyFont="1" applyFill="1" applyBorder="1"/>
    <xf numFmtId="0" fontId="65" fillId="0" borderId="0" xfId="0" applyFont="1" applyAlignment="1">
      <alignment vertical="center" wrapText="1"/>
    </xf>
    <xf numFmtId="0" fontId="29" fillId="12" borderId="123" xfId="36" applyFont="1" applyFill="1" applyBorder="1" applyAlignment="1">
      <alignment horizontal="center" vertical="center" wrapText="1"/>
    </xf>
    <xf numFmtId="0" fontId="29" fillId="2" borderId="123" xfId="0" applyFont="1" applyFill="1" applyBorder="1" applyAlignment="1">
      <alignment horizontal="center" vertical="center"/>
    </xf>
    <xf numFmtId="0" fontId="29" fillId="12" borderId="25" xfId="36" applyFont="1" applyFill="1" applyBorder="1" applyAlignment="1">
      <alignment horizontal="center" vertical="center" wrapText="1"/>
    </xf>
    <xf numFmtId="0" fontId="14" fillId="0" borderId="0" xfId="0" applyFont="1"/>
    <xf numFmtId="0" fontId="54" fillId="17" borderId="134" xfId="7" applyNumberFormat="1" applyFont="1" applyFill="1" applyBorder="1" applyAlignment="1">
      <alignment horizontal="center" vertical="center" wrapText="1"/>
    </xf>
    <xf numFmtId="168" fontId="101" fillId="2" borderId="134" xfId="7" applyFont="1" applyFill="1" applyBorder="1" applyAlignment="1">
      <alignment horizontal="center" vertical="center" wrapText="1"/>
    </xf>
    <xf numFmtId="0" fontId="102" fillId="0" borderId="0" xfId="0" applyFont="1"/>
    <xf numFmtId="0" fontId="102" fillId="32" borderId="134" xfId="0" quotePrefix="1" applyFont="1" applyFill="1" applyBorder="1" applyAlignment="1">
      <alignment horizontal="center"/>
    </xf>
    <xf numFmtId="0" fontId="102" fillId="0" borderId="134" xfId="0" quotePrefix="1" applyFont="1" applyBorder="1" applyAlignment="1">
      <alignment horizontal="center"/>
    </xf>
    <xf numFmtId="49" fontId="3" fillId="0" borderId="134" xfId="0" applyNumberFormat="1" applyFont="1" applyBorder="1" applyAlignment="1" applyProtection="1">
      <alignment horizontal="right"/>
      <protection locked="0"/>
    </xf>
    <xf numFmtId="49" fontId="11" fillId="8" borderId="47" xfId="36" applyNumberFormat="1" applyFont="1" applyFill="1" applyBorder="1" applyAlignment="1" applyProtection="1">
      <alignment horizontal="right" vertical="center" wrapText="1"/>
      <protection locked="0"/>
    </xf>
    <xf numFmtId="49" fontId="11" fillId="8" borderId="57" xfId="36" applyNumberFormat="1" applyFont="1" applyFill="1" applyBorder="1" applyAlignment="1" applyProtection="1">
      <alignment horizontal="right" vertical="center" wrapText="1"/>
      <protection locked="0"/>
    </xf>
    <xf numFmtId="0" fontId="4" fillId="0" borderId="0" xfId="0" applyFont="1"/>
    <xf numFmtId="0" fontId="4" fillId="0" borderId="0" xfId="0" applyFont="1" applyAlignment="1">
      <alignment horizontal="left"/>
    </xf>
    <xf numFmtId="0" fontId="11" fillId="2" borderId="55" xfId="37" applyFont="1" applyFill="1" applyBorder="1" applyAlignment="1">
      <alignment horizontal="center" vertical="center" wrapText="1"/>
    </xf>
    <xf numFmtId="0" fontId="11" fillId="2" borderId="56" xfId="37" applyFont="1" applyFill="1" applyBorder="1" applyAlignment="1">
      <alignment horizontal="left" vertical="center" wrapText="1"/>
    </xf>
    <xf numFmtId="0" fontId="26" fillId="2" borderId="90" xfId="36" applyFont="1" applyFill="1" applyBorder="1" applyAlignment="1">
      <alignment horizontal="center" vertical="center" wrapText="1"/>
    </xf>
    <xf numFmtId="0" fontId="26" fillId="2" borderId="13" xfId="37" applyFont="1" applyFill="1" applyBorder="1" applyAlignment="1">
      <alignment horizontal="center" vertical="center" wrapText="1"/>
    </xf>
    <xf numFmtId="0" fontId="26" fillId="2" borderId="55" xfId="37" applyFont="1" applyFill="1" applyBorder="1" applyAlignment="1">
      <alignment horizontal="center" vertical="center" wrapText="1"/>
    </xf>
    <xf numFmtId="3" fontId="11" fillId="2" borderId="18" xfId="36" applyNumberFormat="1" applyFont="1" applyFill="1" applyBorder="1" applyAlignment="1">
      <alignment vertical="center" wrapText="1"/>
    </xf>
    <xf numFmtId="0" fontId="11" fillId="2" borderId="109" xfId="36" applyFont="1" applyFill="1" applyBorder="1" applyAlignment="1">
      <alignment vertical="center" wrapText="1"/>
    </xf>
    <xf numFmtId="3" fontId="11" fillId="11" borderId="101" xfId="30" applyNumberFormat="1" applyFont="1" applyFill="1" applyBorder="1" applyAlignment="1" applyProtection="1">
      <alignment horizontal="right" vertical="center" wrapText="1"/>
      <protection locked="0"/>
    </xf>
    <xf numFmtId="0" fontId="26" fillId="2" borderId="54" xfId="0" applyFont="1" applyFill="1" applyBorder="1" applyAlignment="1">
      <alignment horizontal="center" vertical="center"/>
    </xf>
    <xf numFmtId="0" fontId="11" fillId="2" borderId="13" xfId="37" applyFont="1" applyFill="1" applyBorder="1" applyAlignment="1">
      <alignment horizontal="center" vertical="center" wrapText="1"/>
    </xf>
    <xf numFmtId="0" fontId="11" fillId="2" borderId="4" xfId="0" applyFont="1" applyFill="1" applyBorder="1" applyAlignment="1">
      <alignment vertical="center" wrapText="1"/>
    </xf>
    <xf numFmtId="0" fontId="11" fillId="2" borderId="25" xfId="0" applyFont="1" applyFill="1" applyBorder="1" applyAlignment="1">
      <alignment horizontal="center" vertical="center" wrapText="1"/>
    </xf>
    <xf numFmtId="0" fontId="26" fillId="2" borderId="63" xfId="0" quotePrefix="1" applyFont="1" applyFill="1" applyBorder="1" applyAlignment="1">
      <alignment horizontal="center" vertical="center" wrapText="1"/>
    </xf>
    <xf numFmtId="0" fontId="26" fillId="2" borderId="55" xfId="0" applyFont="1" applyFill="1" applyBorder="1" applyAlignment="1">
      <alignment horizontal="center" vertical="center"/>
    </xf>
    <xf numFmtId="0" fontId="26" fillId="2" borderId="56" xfId="0" applyFont="1" applyFill="1" applyBorder="1" applyAlignment="1">
      <alignment vertical="center" wrapText="1"/>
    </xf>
    <xf numFmtId="0" fontId="26" fillId="2" borderId="90" xfId="0" quotePrefix="1" applyFont="1" applyFill="1" applyBorder="1" applyAlignment="1">
      <alignment horizontal="center" vertical="center" wrapText="1"/>
    </xf>
    <xf numFmtId="176" fontId="26" fillId="29" borderId="98" xfId="0" applyNumberFormat="1" applyFont="1" applyFill="1" applyBorder="1" applyAlignment="1" applyProtection="1">
      <alignment horizontal="right" vertical="center"/>
      <protection locked="0"/>
    </xf>
    <xf numFmtId="0" fontId="41" fillId="2" borderId="109" xfId="36" applyFont="1" applyFill="1" applyBorder="1" applyAlignment="1">
      <alignment horizontal="left" vertical="center" wrapText="1" indent="2"/>
    </xf>
    <xf numFmtId="0" fontId="26" fillId="2" borderId="17" xfId="37" applyFont="1" applyFill="1" applyBorder="1" applyAlignment="1">
      <alignment horizontal="center" vertical="center" wrapText="1"/>
    </xf>
    <xf numFmtId="0" fontId="26" fillId="2" borderId="18" xfId="37" applyFont="1" applyFill="1" applyBorder="1" applyAlignment="1">
      <alignment vertical="center" wrapText="1"/>
    </xf>
    <xf numFmtId="0" fontId="26" fillId="2" borderId="16" xfId="36" applyFont="1" applyFill="1" applyBorder="1" applyAlignment="1">
      <alignment horizontal="center" vertical="center" wrapText="1"/>
    </xf>
    <xf numFmtId="0" fontId="11" fillId="2" borderId="57" xfId="36" applyFont="1" applyFill="1" applyBorder="1" applyAlignment="1">
      <alignment horizontal="center" vertical="center" wrapText="1"/>
    </xf>
    <xf numFmtId="3" fontId="26" fillId="31" borderId="100" xfId="37" applyNumberFormat="1" applyFont="1" applyFill="1" applyBorder="1" applyAlignment="1">
      <alignment vertical="center" wrapText="1"/>
    </xf>
    <xf numFmtId="3" fontId="26" fillId="7" borderId="136" xfId="37" applyNumberFormat="1" applyFont="1" applyFill="1" applyBorder="1" applyAlignment="1">
      <alignment vertical="center" wrapText="1"/>
    </xf>
    <xf numFmtId="0" fontId="69" fillId="18" borderId="118" xfId="0" applyFont="1" applyFill="1" applyBorder="1"/>
    <xf numFmtId="3" fontId="11" fillId="31" borderId="100" xfId="37" applyNumberFormat="1" applyFont="1" applyFill="1" applyBorder="1" applyAlignment="1" applyProtection="1">
      <alignment vertical="center" wrapText="1"/>
      <protection locked="0"/>
    </xf>
    <xf numFmtId="3" fontId="11" fillId="8" borderId="118" xfId="37" applyNumberFormat="1" applyFont="1" applyFill="1" applyBorder="1" applyAlignment="1" applyProtection="1">
      <alignment vertical="center" wrapText="1"/>
      <protection locked="0"/>
    </xf>
    <xf numFmtId="0" fontId="11" fillId="2" borderId="18" xfId="37" applyFont="1" applyFill="1" applyBorder="1" applyAlignment="1">
      <alignment horizontal="left" vertical="center" wrapText="1"/>
    </xf>
    <xf numFmtId="0" fontId="11" fillId="2" borderId="16" xfId="37" applyFont="1" applyFill="1" applyBorder="1" applyAlignment="1">
      <alignment horizontal="center" vertical="center" wrapText="1"/>
    </xf>
    <xf numFmtId="0" fontId="11" fillId="2" borderId="100" xfId="37" applyFont="1" applyFill="1" applyBorder="1" applyAlignment="1">
      <alignment horizontal="center" vertical="center" wrapText="1"/>
    </xf>
    <xf numFmtId="0" fontId="41" fillId="2" borderId="134" xfId="0" applyFont="1" applyFill="1" applyBorder="1" applyAlignment="1">
      <alignment horizontal="left" vertical="center" wrapText="1" indent="2"/>
    </xf>
    <xf numFmtId="0" fontId="11" fillId="2" borderId="118" xfId="37" applyFont="1" applyFill="1" applyBorder="1" applyAlignment="1">
      <alignment horizontal="center" vertical="center" wrapText="1"/>
    </xf>
    <xf numFmtId="3" fontId="11" fillId="8" borderId="136" xfId="37" applyNumberFormat="1" applyFont="1" applyFill="1" applyBorder="1" applyAlignment="1" applyProtection="1">
      <alignment vertical="center" wrapText="1"/>
      <protection locked="0"/>
    </xf>
    <xf numFmtId="0" fontId="11" fillId="2" borderId="134" xfId="37" applyFont="1" applyFill="1" applyBorder="1" applyAlignment="1">
      <alignment horizontal="left" vertical="center" wrapText="1"/>
    </xf>
    <xf numFmtId="3" fontId="26" fillId="31" borderId="100" xfId="37" applyNumberFormat="1" applyFont="1" applyFill="1" applyBorder="1" applyAlignment="1" applyProtection="1">
      <alignment vertical="center" wrapText="1"/>
      <protection locked="0"/>
    </xf>
    <xf numFmtId="3" fontId="26" fillId="7" borderId="118" xfId="37" applyNumberFormat="1" applyFont="1" applyFill="1" applyBorder="1" applyAlignment="1" applyProtection="1">
      <alignment vertical="center" wrapText="1"/>
      <protection locked="0"/>
    </xf>
    <xf numFmtId="0" fontId="83" fillId="2" borderId="99" xfId="37" applyFont="1" applyFill="1" applyBorder="1" applyAlignment="1">
      <alignment horizontal="center" vertical="center" wrapText="1"/>
    </xf>
    <xf numFmtId="4" fontId="26" fillId="31" borderId="98" xfId="37" applyNumberFormat="1" applyFont="1" applyFill="1" applyBorder="1" applyAlignment="1">
      <alignment horizontal="right" vertical="center" wrapText="1"/>
    </xf>
    <xf numFmtId="4" fontId="26" fillId="7" borderId="99" xfId="37" applyNumberFormat="1" applyFont="1" applyFill="1" applyBorder="1" applyAlignment="1">
      <alignment horizontal="right" vertical="center" wrapText="1"/>
    </xf>
    <xf numFmtId="0" fontId="27" fillId="4" borderId="87" xfId="37" applyFont="1" applyFill="1" applyBorder="1" applyAlignment="1">
      <alignment horizontal="center" vertical="center" wrapText="1"/>
    </xf>
    <xf numFmtId="0" fontId="0" fillId="0" borderId="13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98" fillId="0" borderId="69" xfId="37" applyFont="1" applyBorder="1" applyAlignment="1">
      <alignment horizontal="center" vertical="center" wrapText="1"/>
    </xf>
    <xf numFmtId="49" fontId="11" fillId="31" borderId="100" xfId="36" applyNumberFormat="1" applyFont="1" applyFill="1" applyBorder="1" applyAlignment="1" applyProtection="1">
      <alignment horizontal="right" vertical="center" wrapText="1"/>
      <protection locked="0"/>
    </xf>
    <xf numFmtId="0" fontId="27" fillId="0" borderId="39" xfId="37" applyFont="1" applyBorder="1" applyAlignment="1">
      <alignment horizontal="center" vertical="center" wrapText="1"/>
    </xf>
    <xf numFmtId="0" fontId="11" fillId="2" borderId="100" xfId="37" applyFont="1" applyFill="1" applyBorder="1" applyAlignment="1">
      <alignment horizontal="left" vertical="center" wrapText="1"/>
    </xf>
    <xf numFmtId="0" fontId="26" fillId="2" borderId="98" xfId="0" applyFont="1" applyFill="1" applyBorder="1"/>
    <xf numFmtId="0" fontId="2" fillId="0" borderId="0" xfId="0" applyFont="1" applyAlignment="1">
      <alignment vertical="center"/>
    </xf>
    <xf numFmtId="49" fontId="11" fillId="31" borderId="17" xfId="36" applyNumberFormat="1" applyFont="1" applyFill="1" applyBorder="1" applyAlignment="1" applyProtection="1">
      <alignment horizontal="right" vertical="center" wrapText="1"/>
      <protection locked="0"/>
    </xf>
    <xf numFmtId="3" fontId="11" fillId="7" borderId="118" xfId="37" applyNumberFormat="1" applyFont="1" applyFill="1" applyBorder="1" applyAlignment="1" applyProtection="1">
      <alignment vertical="center" wrapText="1"/>
      <protection locked="0"/>
    </xf>
    <xf numFmtId="0" fontId="26" fillId="2" borderId="98" xfId="37" applyFont="1" applyFill="1" applyBorder="1" applyAlignment="1">
      <alignment horizontal="center" vertical="center" wrapText="1"/>
    </xf>
    <xf numFmtId="0" fontId="26" fillId="2" borderId="110" xfId="37" applyFont="1" applyFill="1" applyBorder="1" applyAlignment="1">
      <alignment vertical="center" wrapText="1"/>
    </xf>
    <xf numFmtId="0" fontId="26" fillId="2" borderId="99" xfId="37" applyFont="1" applyFill="1" applyBorder="1" applyAlignment="1">
      <alignment horizontal="center" vertical="center" wrapText="1"/>
    </xf>
    <xf numFmtId="0" fontId="26" fillId="31" borderId="17" xfId="37" applyFont="1" applyFill="1" applyBorder="1" applyAlignment="1">
      <alignment horizontal="right" vertical="center" wrapText="1"/>
    </xf>
    <xf numFmtId="0" fontId="26" fillId="7" borderId="16" xfId="37" applyFont="1" applyFill="1" applyBorder="1" applyAlignment="1">
      <alignment horizontal="right" vertical="center" wrapText="1"/>
    </xf>
    <xf numFmtId="0" fontId="26" fillId="2" borderId="100" xfId="37" applyFont="1" applyFill="1" applyBorder="1" applyAlignment="1">
      <alignment horizontal="center" vertical="center" wrapText="1"/>
    </xf>
    <xf numFmtId="0" fontId="26" fillId="2" borderId="134" xfId="37" applyFont="1" applyFill="1" applyBorder="1" applyAlignment="1">
      <alignment vertical="center" wrapText="1"/>
    </xf>
    <xf numFmtId="0" fontId="26" fillId="2" borderId="118" xfId="37" applyFont="1" applyFill="1" applyBorder="1" applyAlignment="1">
      <alignment horizontal="center" vertical="center" wrapText="1"/>
    </xf>
    <xf numFmtId="0" fontId="26" fillId="31" borderId="100" xfId="37" applyFont="1" applyFill="1" applyBorder="1" applyAlignment="1">
      <alignment horizontal="right" vertical="center" wrapText="1"/>
    </xf>
    <xf numFmtId="0" fontId="83" fillId="2" borderId="100" xfId="37" applyFont="1" applyFill="1" applyBorder="1" applyAlignment="1">
      <alignment horizontal="center" vertical="center" wrapText="1"/>
    </xf>
    <xf numFmtId="0" fontId="83" fillId="2" borderId="134" xfId="37" applyFont="1" applyFill="1" applyBorder="1" applyAlignment="1">
      <alignment vertical="center" wrapText="1"/>
    </xf>
    <xf numFmtId="3" fontId="26" fillId="31" borderId="100" xfId="37" applyNumberFormat="1" applyFont="1" applyFill="1" applyBorder="1" applyAlignment="1">
      <alignment horizontal="right" vertical="center" wrapText="1"/>
    </xf>
    <xf numFmtId="3" fontId="26" fillId="7" borderId="136" xfId="37" applyNumberFormat="1" applyFont="1" applyFill="1" applyBorder="1" applyAlignment="1">
      <alignment horizontal="right" vertical="center" wrapText="1"/>
    </xf>
    <xf numFmtId="0" fontId="11" fillId="2" borderId="134" xfId="0" applyFont="1" applyFill="1" applyBorder="1" applyAlignment="1">
      <alignment horizontal="left" vertical="center" wrapText="1"/>
    </xf>
    <xf numFmtId="172" fontId="26" fillId="31" borderId="100" xfId="37" applyNumberFormat="1" applyFont="1" applyFill="1" applyBorder="1" applyAlignment="1">
      <alignment horizontal="right" vertical="center" wrapText="1"/>
    </xf>
    <xf numFmtId="172" fontId="26" fillId="7" borderId="118" xfId="37" applyNumberFormat="1" applyFont="1" applyFill="1" applyBorder="1" applyAlignment="1">
      <alignment horizontal="right" vertical="center" wrapText="1"/>
    </xf>
    <xf numFmtId="172" fontId="26" fillId="31" borderId="98" xfId="37" applyNumberFormat="1" applyFont="1" applyFill="1" applyBorder="1" applyAlignment="1">
      <alignment horizontal="right" vertical="center" wrapText="1"/>
    </xf>
    <xf numFmtId="172" fontId="26" fillId="7" borderId="99" xfId="37" applyNumberFormat="1" applyFont="1" applyFill="1" applyBorder="1" applyAlignment="1">
      <alignment horizontal="right" vertical="center" wrapText="1"/>
    </xf>
    <xf numFmtId="0" fontId="69" fillId="18" borderId="118" xfId="37" applyFont="1" applyFill="1" applyBorder="1" applyAlignment="1">
      <alignment horizontal="center" vertical="center" wrapText="1"/>
    </xf>
    <xf numFmtId="0" fontId="0" fillId="10" borderId="166" xfId="0" applyFill="1" applyBorder="1"/>
    <xf numFmtId="10" fontId="0" fillId="8" borderId="167" xfId="31" applyNumberFormat="1" applyFont="1" applyFill="1" applyBorder="1" applyAlignment="1" applyProtection="1">
      <alignment horizontal="right" vertical="center"/>
      <protection locked="0"/>
    </xf>
    <xf numFmtId="0" fontId="26" fillId="7" borderId="168" xfId="37" applyFont="1" applyFill="1" applyBorder="1" applyAlignment="1">
      <alignment horizontal="right" vertical="center" wrapText="1"/>
    </xf>
    <xf numFmtId="0" fontId="26" fillId="7" borderId="167" xfId="37" applyFont="1" applyFill="1" applyBorder="1" applyAlignment="1">
      <alignment horizontal="right" vertical="center" wrapText="1"/>
    </xf>
    <xf numFmtId="172" fontId="0" fillId="24" borderId="16" xfId="31" applyNumberFormat="1" applyFont="1" applyFill="1" applyBorder="1" applyAlignment="1" applyProtection="1">
      <alignment horizontal="right" vertical="center"/>
    </xf>
    <xf numFmtId="180" fontId="26" fillId="7" borderId="162" xfId="7" applyNumberFormat="1" applyFont="1" applyFill="1" applyBorder="1" applyAlignment="1">
      <alignment horizontal="right" vertical="center" wrapText="1"/>
    </xf>
    <xf numFmtId="180" fontId="26" fillId="7" borderId="169" xfId="7" applyNumberFormat="1" applyFont="1" applyFill="1" applyBorder="1" applyAlignment="1">
      <alignment horizontal="right" vertical="center" wrapText="1"/>
    </xf>
    <xf numFmtId="172" fontId="0" fillId="24" borderId="166" xfId="31" applyNumberFormat="1" applyFont="1" applyFill="1" applyBorder="1" applyAlignment="1" applyProtection="1">
      <alignment horizontal="right" vertical="center"/>
    </xf>
    <xf numFmtId="0" fontId="102" fillId="4" borderId="134" xfId="0" quotePrefix="1" applyFont="1" applyFill="1" applyBorder="1" applyAlignment="1">
      <alignment horizontal="center"/>
    </xf>
    <xf numFmtId="2" fontId="0" fillId="8" borderId="167" xfId="0" applyNumberFormat="1" applyFill="1" applyBorder="1" applyAlignment="1" applyProtection="1">
      <alignment vertical="center"/>
      <protection locked="0"/>
    </xf>
    <xf numFmtId="4" fontId="0" fillId="24" borderId="17" xfId="31" applyNumberFormat="1" applyFont="1" applyFill="1" applyBorder="1" applyAlignment="1" applyProtection="1">
      <alignment horizontal="right" vertical="center"/>
    </xf>
    <xf numFmtId="172" fontId="0" fillId="24" borderId="168" xfId="31" applyNumberFormat="1" applyFont="1" applyFill="1" applyBorder="1" applyAlignment="1" applyProtection="1">
      <alignment horizontal="right" vertical="center"/>
    </xf>
    <xf numFmtId="172" fontId="0" fillId="24" borderId="167" xfId="31" applyNumberFormat="1" applyFont="1" applyFill="1" applyBorder="1" applyAlignment="1" applyProtection="1">
      <alignment horizontal="right" vertical="center"/>
    </xf>
    <xf numFmtId="172" fontId="0" fillId="24" borderId="165" xfId="31" applyNumberFormat="1" applyFont="1" applyFill="1" applyBorder="1" applyAlignment="1" applyProtection="1">
      <alignment horizontal="right" vertical="center"/>
    </xf>
    <xf numFmtId="4" fontId="0" fillId="24" borderId="166" xfId="31" applyNumberFormat="1" applyFont="1" applyFill="1" applyBorder="1" applyAlignment="1" applyProtection="1">
      <alignment horizontal="right" vertical="center"/>
    </xf>
    <xf numFmtId="4" fontId="0" fillId="8" borderId="167" xfId="0" applyNumberFormat="1" applyFill="1" applyBorder="1" applyAlignment="1" applyProtection="1">
      <alignment horizontal="right" vertical="center"/>
      <protection locked="0"/>
    </xf>
    <xf numFmtId="4" fontId="0" fillId="24" borderId="165" xfId="31" applyNumberFormat="1" applyFont="1" applyFill="1" applyBorder="1" applyAlignment="1" applyProtection="1">
      <alignment horizontal="right" vertical="center"/>
    </xf>
    <xf numFmtId="0" fontId="0" fillId="10" borderId="165" xfId="0" applyFill="1" applyBorder="1"/>
    <xf numFmtId="0" fontId="26" fillId="7" borderId="162" xfId="36" applyFont="1" applyFill="1" applyBorder="1" applyAlignment="1">
      <alignment horizontal="right" vertical="center" wrapText="1"/>
    </xf>
    <xf numFmtId="49" fontId="11" fillId="31" borderId="170" xfId="36" applyNumberFormat="1" applyFont="1" applyFill="1" applyBorder="1" applyAlignment="1" applyProtection="1">
      <alignment horizontal="right" vertical="center" wrapText="1"/>
      <protection locked="0"/>
    </xf>
    <xf numFmtId="0" fontId="27" fillId="0" borderId="167" xfId="37" applyFont="1" applyBorder="1" applyAlignment="1">
      <alignment horizontal="center" vertical="center" wrapText="1"/>
    </xf>
    <xf numFmtId="0" fontId="68" fillId="31" borderId="170" xfId="36" applyFont="1" applyFill="1" applyBorder="1" applyAlignment="1">
      <alignment horizontal="center" vertical="center" wrapText="1"/>
    </xf>
    <xf numFmtId="0" fontId="68" fillId="18" borderId="171" xfId="36" applyFont="1" applyFill="1" applyBorder="1" applyAlignment="1">
      <alignment horizontal="center" vertical="center" wrapText="1"/>
    </xf>
    <xf numFmtId="3" fontId="84" fillId="31" borderId="100" xfId="37" applyNumberFormat="1" applyFont="1" applyFill="1" applyBorder="1" applyAlignment="1" applyProtection="1">
      <alignment vertical="center" wrapText="1"/>
      <protection locked="0"/>
    </xf>
    <xf numFmtId="0" fontId="106" fillId="0" borderId="0" xfId="0" applyFont="1" applyAlignment="1">
      <alignment horizontal="center" vertical="center"/>
    </xf>
    <xf numFmtId="0" fontId="107" fillId="31" borderId="100" xfId="36" applyFont="1" applyFill="1" applyBorder="1" applyAlignment="1">
      <alignment horizontal="center" vertical="center" wrapText="1"/>
    </xf>
    <xf numFmtId="0" fontId="24" fillId="0" borderId="0" xfId="37" applyFont="1" applyAlignment="1">
      <alignment horizontal="center" vertical="center" wrapText="1"/>
    </xf>
    <xf numFmtId="0" fontId="69" fillId="0" borderId="0" xfId="0" applyFont="1" applyAlignment="1">
      <alignment horizontal="center" vertical="center"/>
    </xf>
    <xf numFmtId="0" fontId="68" fillId="0" borderId="0" xfId="36" applyFont="1" applyAlignment="1">
      <alignment horizontal="center" vertical="center" wrapText="1"/>
    </xf>
    <xf numFmtId="0" fontId="69" fillId="0" borderId="0" xfId="37" applyFont="1" applyAlignment="1">
      <alignment horizontal="center" vertical="center" wrapText="1"/>
    </xf>
    <xf numFmtId="0" fontId="68" fillId="0" borderId="0" xfId="37" applyFont="1" applyAlignment="1">
      <alignment horizontal="center" vertical="center" wrapText="1"/>
    </xf>
    <xf numFmtId="0" fontId="69" fillId="0" borderId="0" xfId="37" applyFont="1" applyAlignment="1">
      <alignment vertical="center" wrapText="1"/>
    </xf>
    <xf numFmtId="0" fontId="68" fillId="0" borderId="0" xfId="37" quotePrefix="1" applyFont="1" applyAlignment="1">
      <alignment horizontal="center" vertical="center" wrapText="1"/>
    </xf>
    <xf numFmtId="2" fontId="26" fillId="0" borderId="0" xfId="37" applyNumberFormat="1" applyFont="1" applyAlignment="1">
      <alignment horizontal="right" vertical="center" wrapText="1"/>
    </xf>
    <xf numFmtId="0" fontId="24" fillId="0" borderId="0" xfId="37" applyFont="1" applyAlignment="1">
      <alignment vertical="center" wrapText="1"/>
    </xf>
    <xf numFmtId="0" fontId="68" fillId="0" borderId="24" xfId="36" applyFont="1" applyBorder="1" applyAlignment="1">
      <alignment horizontal="center" vertical="center" wrapText="1"/>
    </xf>
    <xf numFmtId="0" fontId="68" fillId="0" borderId="167" xfId="36" applyFont="1" applyBorder="1" applyAlignment="1">
      <alignment horizontal="center" vertical="center" wrapText="1"/>
    </xf>
    <xf numFmtId="0" fontId="69" fillId="18" borderId="162" xfId="37" applyFont="1" applyFill="1" applyBorder="1" applyAlignment="1">
      <alignment horizontal="center" vertical="center" wrapText="1"/>
    </xf>
    <xf numFmtId="0" fontId="68" fillId="18" borderId="24" xfId="36" applyFont="1" applyFill="1" applyBorder="1" applyAlignment="1">
      <alignment horizontal="center" vertical="center" wrapText="1"/>
    </xf>
    <xf numFmtId="0" fontId="68" fillId="18" borderId="167" xfId="36" applyFont="1" applyFill="1" applyBorder="1" applyAlignment="1">
      <alignment horizontal="center" vertical="center" wrapText="1"/>
    </xf>
    <xf numFmtId="0" fontId="68" fillId="0" borderId="167" xfId="37" applyFont="1" applyBorder="1" applyAlignment="1">
      <alignment horizontal="center" vertical="center" wrapText="1"/>
    </xf>
    <xf numFmtId="0" fontId="68" fillId="18" borderId="167" xfId="37" applyFont="1" applyFill="1" applyBorder="1" applyAlignment="1">
      <alignment horizontal="center" vertical="center" wrapText="1"/>
    </xf>
    <xf numFmtId="0" fontId="68" fillId="0" borderId="162" xfId="36" applyFont="1" applyBorder="1" applyAlignment="1">
      <alignment horizontal="center" vertical="center" wrapText="1"/>
    </xf>
    <xf numFmtId="0" fontId="69" fillId="18" borderId="167" xfId="37" applyFont="1" applyFill="1" applyBorder="1" applyAlignment="1">
      <alignment horizontal="center" vertical="center" wrapText="1"/>
    </xf>
    <xf numFmtId="0" fontId="68" fillId="18" borderId="24" xfId="37" quotePrefix="1" applyFont="1" applyFill="1" applyBorder="1" applyAlignment="1">
      <alignment horizontal="center" vertical="center" wrapText="1"/>
    </xf>
    <xf numFmtId="0" fontId="68" fillId="18" borderId="167" xfId="37" quotePrefix="1" applyFont="1" applyFill="1" applyBorder="1" applyAlignment="1">
      <alignment horizontal="center" vertical="center" wrapText="1"/>
    </xf>
    <xf numFmtId="0" fontId="24" fillId="2" borderId="19" xfId="37" applyFont="1" applyFill="1" applyBorder="1" applyAlignment="1">
      <alignment horizontal="center" vertical="center" wrapText="1"/>
    </xf>
    <xf numFmtId="0" fontId="11" fillId="2" borderId="172" xfId="0" applyFont="1" applyFill="1" applyBorder="1" applyAlignment="1">
      <alignment horizontal="center" vertical="center"/>
    </xf>
    <xf numFmtId="0" fontId="11" fillId="2" borderId="173" xfId="37" applyFont="1" applyFill="1" applyBorder="1" applyAlignment="1">
      <alignment vertical="center" wrapText="1"/>
    </xf>
    <xf numFmtId="0" fontId="11" fillId="2" borderId="174" xfId="37" applyFont="1" applyFill="1" applyBorder="1" applyAlignment="1">
      <alignment horizontal="center" vertical="center" wrapText="1"/>
    </xf>
    <xf numFmtId="0" fontId="26" fillId="2" borderId="174" xfId="37" applyFont="1" applyFill="1" applyBorder="1" applyAlignment="1">
      <alignment horizontal="center" vertical="center" wrapText="1"/>
    </xf>
    <xf numFmtId="0" fontId="11" fillId="2" borderId="172" xfId="37" applyFont="1" applyFill="1" applyBorder="1" applyAlignment="1">
      <alignment horizontal="center" vertical="center" wrapText="1"/>
    </xf>
    <xf numFmtId="0" fontId="11" fillId="2" borderId="173" xfId="37" applyFont="1" applyFill="1" applyBorder="1" applyAlignment="1">
      <alignment horizontal="left" vertical="center" wrapText="1"/>
    </xf>
    <xf numFmtId="0" fontId="11" fillId="2" borderId="174" xfId="37" quotePrefix="1" applyFont="1" applyFill="1" applyBorder="1" applyAlignment="1">
      <alignment horizontal="center" vertical="center" wrapText="1"/>
    </xf>
    <xf numFmtId="0" fontId="11" fillId="2" borderId="165" xfId="37" applyFont="1" applyFill="1" applyBorder="1" applyAlignment="1">
      <alignment horizontal="center" vertical="center" wrapText="1"/>
    </xf>
    <xf numFmtId="0" fontId="11" fillId="2" borderId="110" xfId="37" applyFont="1" applyFill="1" applyBorder="1" applyAlignment="1">
      <alignment horizontal="left" vertical="center" wrapText="1"/>
    </xf>
    <xf numFmtId="0" fontId="11" fillId="2" borderId="166" xfId="37" quotePrefix="1" applyFont="1" applyFill="1" applyBorder="1" applyAlignment="1">
      <alignment horizontal="center" vertical="center" wrapText="1"/>
    </xf>
    <xf numFmtId="1" fontId="11" fillId="8" borderId="118" xfId="37" applyNumberFormat="1" applyFont="1" applyFill="1" applyBorder="1" applyAlignment="1" applyProtection="1">
      <alignment vertical="center" wrapText="1"/>
      <protection locked="0"/>
    </xf>
    <xf numFmtId="10" fontId="11" fillId="8" borderId="167" xfId="31" applyNumberFormat="1" applyFont="1" applyFill="1" applyBorder="1" applyAlignment="1" applyProtection="1">
      <alignment horizontal="right" vertical="center"/>
      <protection locked="0"/>
    </xf>
    <xf numFmtId="4" fontId="0" fillId="24" borderId="172" xfId="31" applyNumberFormat="1" applyFont="1" applyFill="1" applyBorder="1" applyAlignment="1" applyProtection="1">
      <alignment horizontal="right" vertical="center"/>
    </xf>
    <xf numFmtId="172" fontId="0" fillId="24" borderId="174" xfId="31" applyNumberFormat="1" applyFont="1" applyFill="1" applyBorder="1" applyAlignment="1" applyProtection="1">
      <alignment horizontal="right" vertical="center"/>
    </xf>
    <xf numFmtId="3" fontId="11" fillId="7" borderId="172" xfId="31" applyNumberFormat="1" applyFont="1" applyFill="1" applyBorder="1" applyAlignment="1" applyProtection="1">
      <alignment horizontal="right" vertical="center"/>
    </xf>
    <xf numFmtId="49" fontId="26" fillId="7" borderId="172" xfId="37" applyNumberFormat="1" applyFont="1" applyFill="1" applyBorder="1" applyAlignment="1">
      <alignment horizontal="right" vertical="center" wrapText="1"/>
    </xf>
    <xf numFmtId="49" fontId="26" fillId="7" borderId="174" xfId="37" applyNumberFormat="1" applyFont="1" applyFill="1" applyBorder="1" applyAlignment="1">
      <alignment horizontal="right" vertical="center" wrapText="1"/>
    </xf>
    <xf numFmtId="0" fontId="26" fillId="7" borderId="172" xfId="37" applyFont="1" applyFill="1" applyBorder="1" applyAlignment="1">
      <alignment horizontal="right" vertical="center" wrapText="1"/>
    </xf>
    <xf numFmtId="3" fontId="108" fillId="7" borderId="168" xfId="0" applyNumberFormat="1" applyFont="1" applyFill="1" applyBorder="1" applyAlignment="1">
      <alignment horizontal="right" vertical="center"/>
    </xf>
    <xf numFmtId="3" fontId="108" fillId="7" borderId="172" xfId="0" applyNumberFormat="1" applyFont="1" applyFill="1" applyBorder="1" applyAlignment="1">
      <alignment horizontal="right" vertical="center"/>
    </xf>
    <xf numFmtId="4" fontId="109" fillId="24" borderId="174" xfId="31" applyNumberFormat="1" applyFont="1" applyFill="1" applyBorder="1" applyAlignment="1" applyProtection="1">
      <alignment horizontal="right" vertical="center"/>
    </xf>
    <xf numFmtId="4" fontId="109" fillId="24" borderId="166" xfId="31" applyNumberFormat="1" applyFont="1" applyFill="1" applyBorder="1" applyAlignment="1" applyProtection="1">
      <alignment horizontal="right" vertical="center"/>
    </xf>
    <xf numFmtId="172" fontId="109" fillId="24" borderId="16" xfId="31" applyNumberFormat="1" applyFont="1" applyFill="1" applyBorder="1" applyAlignment="1" applyProtection="1">
      <alignment horizontal="right" vertical="center"/>
    </xf>
    <xf numFmtId="172" fontId="109" fillId="24" borderId="174" xfId="31" applyNumberFormat="1" applyFont="1" applyFill="1" applyBorder="1" applyAlignment="1" applyProtection="1">
      <alignment horizontal="right" vertical="center"/>
    </xf>
    <xf numFmtId="4" fontId="4" fillId="7" borderId="172" xfId="31" applyNumberFormat="1" applyFont="1" applyFill="1" applyBorder="1" applyAlignment="1" applyProtection="1">
      <alignment horizontal="right" vertical="center"/>
    </xf>
    <xf numFmtId="4" fontId="11" fillId="7" borderId="174" xfId="31" applyNumberFormat="1" applyFont="1" applyFill="1" applyBorder="1" applyAlignment="1" applyProtection="1">
      <alignment horizontal="right" vertical="center"/>
    </xf>
    <xf numFmtId="10" fontId="4" fillId="7" borderId="172" xfId="31" applyNumberFormat="1" applyFont="1" applyFill="1" applyBorder="1" applyAlignment="1" applyProtection="1">
      <alignment horizontal="right" vertical="center"/>
    </xf>
    <xf numFmtId="10" fontId="11" fillId="7" borderId="174" xfId="31" applyNumberFormat="1" applyFont="1" applyFill="1" applyBorder="1" applyAlignment="1" applyProtection="1">
      <alignment horizontal="right" vertical="center"/>
    </xf>
    <xf numFmtId="0" fontId="26" fillId="7" borderId="174" xfId="37" applyFont="1" applyFill="1" applyBorder="1" applyAlignment="1">
      <alignment horizontal="right" vertical="center" wrapText="1"/>
    </xf>
    <xf numFmtId="4" fontId="109" fillId="7" borderId="167" xfId="30" applyNumberFormat="1" applyFont="1" applyFill="1" applyBorder="1" applyAlignment="1" applyProtection="1">
      <alignment horizontal="right" vertical="center"/>
    </xf>
    <xf numFmtId="4" fontId="108" fillId="7" borderId="172" xfId="30" applyNumberFormat="1" applyFont="1" applyFill="1" applyBorder="1" applyAlignment="1" applyProtection="1">
      <alignment horizontal="right" vertical="center"/>
    </xf>
    <xf numFmtId="4" fontId="11" fillId="7" borderId="168" xfId="0" applyNumberFormat="1" applyFont="1" applyFill="1" applyBorder="1" applyAlignment="1">
      <alignment horizontal="right" vertical="center"/>
    </xf>
    <xf numFmtId="0" fontId="26" fillId="7" borderId="168" xfId="0" applyFont="1" applyFill="1" applyBorder="1" applyAlignment="1">
      <alignment horizontal="right" vertical="center"/>
    </xf>
    <xf numFmtId="174" fontId="0" fillId="8" borderId="167" xfId="31" applyNumberFormat="1" applyFont="1" applyFill="1" applyBorder="1" applyAlignment="1" applyProtection="1">
      <alignment horizontal="right" vertical="center"/>
      <protection locked="0"/>
    </xf>
    <xf numFmtId="174" fontId="0" fillId="7" borderId="172" xfId="31" applyNumberFormat="1" applyFont="1" applyFill="1" applyBorder="1" applyAlignment="1" applyProtection="1">
      <alignment horizontal="right" vertical="center"/>
    </xf>
    <xf numFmtId="10" fontId="11" fillId="7" borderId="172" xfId="31" applyNumberFormat="1" applyFont="1" applyFill="1" applyBorder="1" applyAlignment="1" applyProtection="1">
      <alignment horizontal="right" vertical="center"/>
    </xf>
    <xf numFmtId="173" fontId="0" fillId="8" borderId="167" xfId="31" applyNumberFormat="1" applyFont="1" applyFill="1" applyBorder="1" applyAlignment="1" applyProtection="1">
      <alignment horizontal="right" vertical="center"/>
      <protection locked="0"/>
    </xf>
    <xf numFmtId="174" fontId="26" fillId="24" borderId="172" xfId="31" applyNumberFormat="1" applyFont="1" applyFill="1" applyBorder="1" applyAlignment="1" applyProtection="1">
      <alignment horizontal="right" vertical="center"/>
    </xf>
    <xf numFmtId="0" fontId="24" fillId="7" borderId="172" xfId="37" applyFont="1" applyFill="1" applyBorder="1" applyAlignment="1">
      <alignment horizontal="right" vertical="center" wrapText="1"/>
    </xf>
    <xf numFmtId="10" fontId="109" fillId="7" borderId="167" xfId="0" applyNumberFormat="1" applyFont="1" applyFill="1" applyBorder="1" applyAlignment="1">
      <alignment vertical="center"/>
    </xf>
    <xf numFmtId="10" fontId="108" fillId="7" borderId="172" xfId="0" applyNumberFormat="1" applyFont="1" applyFill="1" applyBorder="1" applyAlignment="1">
      <alignment vertical="center"/>
    </xf>
    <xf numFmtId="2" fontId="0" fillId="7" borderId="172" xfId="0" applyNumberFormat="1" applyFill="1" applyBorder="1" applyAlignment="1">
      <alignment vertical="center"/>
    </xf>
    <xf numFmtId="2" fontId="0" fillId="7" borderId="174" xfId="0" applyNumberFormat="1" applyFill="1" applyBorder="1" applyAlignment="1">
      <alignment vertical="center"/>
    </xf>
    <xf numFmtId="10" fontId="0" fillId="8" borderId="167" xfId="31" applyNumberFormat="1" applyFont="1" applyFill="1" applyBorder="1" applyAlignment="1" applyProtection="1">
      <alignment vertical="center"/>
      <protection locked="0"/>
    </xf>
    <xf numFmtId="10" fontId="0" fillId="7" borderId="172" xfId="31" applyNumberFormat="1" applyFont="1" applyFill="1" applyBorder="1" applyAlignment="1" applyProtection="1">
      <alignment vertical="center"/>
    </xf>
    <xf numFmtId="10" fontId="0" fillId="7" borderId="174" xfId="31" applyNumberFormat="1" applyFont="1" applyFill="1" applyBorder="1" applyAlignment="1" applyProtection="1">
      <alignment vertical="center"/>
    </xf>
    <xf numFmtId="49" fontId="26" fillId="7" borderId="167" xfId="37" applyNumberFormat="1" applyFont="1" applyFill="1" applyBorder="1" applyAlignment="1">
      <alignment horizontal="right" vertical="center" wrapText="1"/>
    </xf>
    <xf numFmtId="2" fontId="108" fillId="7" borderId="167" xfId="0" applyNumberFormat="1" applyFont="1" applyFill="1" applyBorder="1" applyAlignment="1">
      <alignment vertical="center"/>
    </xf>
    <xf numFmtId="2" fontId="108" fillId="7" borderId="172" xfId="0" applyNumberFormat="1" applyFont="1" applyFill="1" applyBorder="1" applyAlignment="1">
      <alignment vertical="center"/>
    </xf>
    <xf numFmtId="10" fontId="108" fillId="7" borderId="167" xfId="31" applyNumberFormat="1" applyFont="1" applyFill="1" applyBorder="1" applyAlignment="1" applyProtection="1">
      <alignment vertical="center"/>
    </xf>
    <xf numFmtId="10" fontId="108" fillId="7" borderId="172" xfId="31" applyNumberFormat="1" applyFont="1" applyFill="1" applyBorder="1" applyAlignment="1" applyProtection="1">
      <alignment vertical="center"/>
    </xf>
    <xf numFmtId="4" fontId="0" fillId="7" borderId="172" xfId="31" applyNumberFormat="1" applyFont="1" applyFill="1" applyBorder="1" applyAlignment="1" applyProtection="1">
      <alignment horizontal="right" vertical="center"/>
    </xf>
    <xf numFmtId="4" fontId="0" fillId="7" borderId="174" xfId="31" applyNumberFormat="1" applyFont="1" applyFill="1" applyBorder="1" applyAlignment="1" applyProtection="1">
      <alignment horizontal="right" vertical="center"/>
    </xf>
    <xf numFmtId="172" fontId="0" fillId="8" borderId="167" xfId="31" applyNumberFormat="1" applyFont="1" applyFill="1" applyBorder="1" applyAlignment="1" applyProtection="1">
      <alignment horizontal="right" vertical="center"/>
      <protection locked="0"/>
    </xf>
    <xf numFmtId="172" fontId="0" fillId="24" borderId="172" xfId="31" applyNumberFormat="1" applyFont="1" applyFill="1" applyBorder="1" applyAlignment="1" applyProtection="1">
      <alignment horizontal="right" vertical="center"/>
    </xf>
    <xf numFmtId="4" fontId="108" fillId="7" borderId="167" xfId="30" applyNumberFormat="1" applyFont="1" applyFill="1" applyBorder="1" applyAlignment="1" applyProtection="1">
      <alignment horizontal="right" vertical="center"/>
    </xf>
    <xf numFmtId="10" fontId="0" fillId="7" borderId="172" xfId="31" applyNumberFormat="1" applyFont="1" applyFill="1" applyBorder="1" applyAlignment="1" applyProtection="1">
      <alignment horizontal="right" vertical="center"/>
    </xf>
    <xf numFmtId="10" fontId="0" fillId="7" borderId="174" xfId="31" applyNumberFormat="1" applyFont="1" applyFill="1" applyBorder="1" applyAlignment="1" applyProtection="1">
      <alignment horizontal="right" vertical="center"/>
    </xf>
    <xf numFmtId="10" fontId="108" fillId="7" borderId="167" xfId="31" applyNumberFormat="1" applyFont="1" applyFill="1" applyBorder="1" applyAlignment="1" applyProtection="1">
      <alignment horizontal="right" vertical="center"/>
    </xf>
    <xf numFmtId="10" fontId="108" fillId="7" borderId="172" xfId="31" applyNumberFormat="1" applyFont="1" applyFill="1" applyBorder="1" applyAlignment="1" applyProtection="1">
      <alignment horizontal="right" vertical="center"/>
    </xf>
    <xf numFmtId="4" fontId="2" fillId="10" borderId="172" xfId="30" applyNumberFormat="1" applyFont="1" applyFill="1" applyBorder="1" applyAlignment="1" applyProtection="1">
      <alignment horizontal="right" vertical="center"/>
    </xf>
    <xf numFmtId="0" fontId="26" fillId="10" borderId="172" xfId="37" applyFont="1" applyFill="1" applyBorder="1" applyAlignment="1">
      <alignment horizontal="right" vertical="center" wrapText="1"/>
    </xf>
    <xf numFmtId="4" fontId="2" fillId="10" borderId="174" xfId="30" applyNumberFormat="1" applyFont="1" applyFill="1" applyBorder="1" applyAlignment="1" applyProtection="1">
      <alignment horizontal="right" vertical="center"/>
    </xf>
    <xf numFmtId="10" fontId="2" fillId="10" borderId="172" xfId="31" applyNumberFormat="1" applyFont="1" applyFill="1" applyBorder="1" applyAlignment="1" applyProtection="1">
      <alignment horizontal="right" vertical="center"/>
    </xf>
    <xf numFmtId="172" fontId="26" fillId="7" borderId="99" xfId="31" applyNumberFormat="1" applyFont="1" applyFill="1" applyBorder="1" applyAlignment="1" applyProtection="1">
      <alignment vertical="center" wrapText="1"/>
    </xf>
    <xf numFmtId="177" fontId="2" fillId="7" borderId="101" xfId="0" applyNumberFormat="1" applyFont="1" applyFill="1" applyBorder="1" applyAlignment="1">
      <alignment horizontal="right" vertical="center"/>
    </xf>
    <xf numFmtId="176" fontId="2" fillId="7" borderId="99" xfId="0" applyNumberFormat="1" applyFont="1" applyFill="1" applyBorder="1" applyAlignment="1">
      <alignment horizontal="right" vertical="center"/>
    </xf>
    <xf numFmtId="49" fontId="11" fillId="7" borderId="47" xfId="36" applyNumberFormat="1" applyFont="1" applyFill="1" applyBorder="1" applyAlignment="1">
      <alignment horizontal="right" vertical="center" wrapText="1"/>
    </xf>
    <xf numFmtId="3" fontId="26" fillId="7" borderId="16" xfId="37" applyNumberFormat="1" applyFont="1" applyFill="1" applyBorder="1" applyAlignment="1">
      <alignment vertical="center" wrapText="1"/>
    </xf>
    <xf numFmtId="3" fontId="26" fillId="7" borderId="118" xfId="37" applyNumberFormat="1" applyFont="1" applyFill="1" applyBorder="1" applyAlignment="1">
      <alignment vertical="center" wrapText="1"/>
    </xf>
    <xf numFmtId="3" fontId="11" fillId="7" borderId="118" xfId="37" applyNumberFormat="1" applyFont="1" applyFill="1" applyBorder="1" applyAlignment="1">
      <alignment vertical="center" wrapText="1"/>
    </xf>
    <xf numFmtId="0" fontId="54" fillId="17" borderId="20" xfId="7" applyNumberFormat="1" applyFont="1" applyFill="1" applyBorder="1" applyAlignment="1">
      <alignment horizontal="center" vertical="center" wrapText="1"/>
    </xf>
    <xf numFmtId="0" fontId="54" fillId="17" borderId="22" xfId="7" applyNumberFormat="1" applyFont="1" applyFill="1" applyBorder="1" applyAlignment="1">
      <alignment horizontal="center" vertical="center" wrapText="1"/>
    </xf>
    <xf numFmtId="0" fontId="83" fillId="2" borderId="173" xfId="37" applyFont="1" applyFill="1" applyBorder="1" applyAlignment="1">
      <alignment vertical="center" wrapText="1"/>
    </xf>
    <xf numFmtId="3" fontId="26" fillId="31" borderId="172" xfId="37" applyNumberFormat="1" applyFont="1" applyFill="1" applyBorder="1" applyAlignment="1">
      <alignment horizontal="right" vertical="center" wrapText="1"/>
    </xf>
    <xf numFmtId="0" fontId="69" fillId="31" borderId="172" xfId="37" applyFont="1" applyFill="1" applyBorder="1" applyAlignment="1">
      <alignment horizontal="center" vertical="center" wrapText="1"/>
    </xf>
    <xf numFmtId="0" fontId="69" fillId="18" borderId="174" xfId="37" applyFont="1" applyFill="1" applyBorder="1" applyAlignment="1">
      <alignment horizontal="center" vertical="center" wrapText="1"/>
    </xf>
    <xf numFmtId="0" fontId="11" fillId="2" borderId="134" xfId="37" applyFont="1" applyFill="1" applyBorder="1" applyAlignment="1">
      <alignment vertical="center" wrapText="1"/>
    </xf>
    <xf numFmtId="0" fontId="26" fillId="2" borderId="14" xfId="37" applyFont="1" applyFill="1" applyBorder="1" applyAlignment="1">
      <alignment horizontal="center" vertical="center" wrapText="1"/>
    </xf>
    <xf numFmtId="0" fontId="11" fillId="2" borderId="16" xfId="37" quotePrefix="1" applyFont="1" applyFill="1" applyBorder="1" applyAlignment="1">
      <alignment horizontal="center" vertical="center" wrapText="1"/>
    </xf>
    <xf numFmtId="0" fontId="11" fillId="2" borderId="118" xfId="37" quotePrefix="1" applyFont="1" applyFill="1" applyBorder="1" applyAlignment="1">
      <alignment horizontal="center" vertical="center" wrapText="1"/>
    </xf>
    <xf numFmtId="0" fontId="11" fillId="2" borderId="150" xfId="37" applyFont="1" applyFill="1" applyBorder="1" applyAlignment="1">
      <alignment horizontal="left" vertical="center" wrapText="1"/>
    </xf>
    <xf numFmtId="0" fontId="11" fillId="2" borderId="171" xfId="37" quotePrefix="1" applyFont="1" applyFill="1" applyBorder="1" applyAlignment="1">
      <alignment horizontal="center" vertical="center" wrapText="1"/>
    </xf>
    <xf numFmtId="0" fontId="83" fillId="2" borderId="14" xfId="37" quotePrefix="1" applyFont="1" applyFill="1" applyBorder="1" applyAlignment="1">
      <alignment horizontal="center" vertical="center" wrapText="1"/>
    </xf>
    <xf numFmtId="0" fontId="66" fillId="2" borderId="172" xfId="37" applyFont="1" applyFill="1" applyBorder="1" applyAlignment="1">
      <alignment horizontal="center" vertical="center" wrapText="1"/>
    </xf>
    <xf numFmtId="0" fontId="66" fillId="2" borderId="173" xfId="37" applyFont="1" applyFill="1" applyBorder="1" applyAlignment="1">
      <alignment vertical="center" wrapText="1"/>
    </xf>
    <xf numFmtId="4" fontId="26" fillId="7" borderId="157" xfId="37" applyNumberFormat="1" applyFont="1" applyFill="1" applyBorder="1" applyAlignment="1">
      <alignment horizontal="right" vertical="center" wrapText="1"/>
    </xf>
    <xf numFmtId="0" fontId="66" fillId="2" borderId="14" xfId="37" quotePrefix="1" applyFont="1" applyFill="1" applyBorder="1" applyAlignment="1">
      <alignment horizontal="center" vertical="center" wrapText="1"/>
    </xf>
    <xf numFmtId="0" fontId="26" fillId="2" borderId="16" xfId="37" applyFont="1" applyFill="1" applyBorder="1" applyAlignment="1">
      <alignment horizontal="center" vertical="center" wrapText="1"/>
    </xf>
    <xf numFmtId="0" fontId="98" fillId="0" borderId="167" xfId="37" applyFont="1" applyBorder="1" applyAlignment="1">
      <alignment horizontal="center" vertical="center" wrapText="1"/>
    </xf>
    <xf numFmtId="0" fontId="98" fillId="0" borderId="162" xfId="37" applyFont="1" applyBorder="1" applyAlignment="1">
      <alignment horizontal="center" vertical="center" wrapText="1"/>
    </xf>
    <xf numFmtId="0" fontId="41" fillId="2" borderId="134" xfId="37" applyFont="1" applyFill="1" applyBorder="1" applyAlignment="1">
      <alignment horizontal="left" vertical="center" wrapText="1" indent="4"/>
    </xf>
    <xf numFmtId="49" fontId="26" fillId="28" borderId="58" xfId="36" applyNumberFormat="1" applyFont="1" applyFill="1" applyBorder="1" applyAlignment="1" applyProtection="1">
      <alignment horizontal="right" vertical="center" wrapText="1"/>
      <protection locked="0"/>
    </xf>
    <xf numFmtId="0" fontId="68" fillId="31" borderId="58" xfId="36" applyFont="1" applyFill="1" applyBorder="1" applyAlignment="1">
      <alignment horizontal="center" vertical="center" wrapText="1"/>
    </xf>
    <xf numFmtId="0" fontId="66" fillId="2" borderId="2" xfId="36" applyFont="1" applyFill="1" applyBorder="1" applyAlignment="1">
      <alignment vertical="center" wrapText="1"/>
    </xf>
    <xf numFmtId="0" fontId="66" fillId="2" borderId="89" xfId="36" quotePrefix="1" applyFont="1" applyFill="1" applyBorder="1" applyAlignment="1">
      <alignment horizontal="center" vertical="center" wrapText="1"/>
    </xf>
    <xf numFmtId="0" fontId="66" fillId="2" borderId="58" xfId="36" applyFont="1" applyFill="1" applyBorder="1" applyAlignment="1">
      <alignment horizontal="center" vertical="center" wrapText="1"/>
    </xf>
    <xf numFmtId="0" fontId="11" fillId="2" borderId="172" xfId="36" applyFont="1" applyFill="1" applyBorder="1" applyAlignment="1">
      <alignment horizontal="center" vertical="center" wrapText="1"/>
    </xf>
    <xf numFmtId="0" fontId="66" fillId="2" borderId="54" xfId="36" applyFont="1" applyFill="1" applyBorder="1" applyAlignment="1">
      <alignment horizontal="center" vertical="center" wrapText="1"/>
    </xf>
    <xf numFmtId="0" fontId="112" fillId="2" borderId="109" xfId="36" applyFont="1" applyFill="1" applyBorder="1" applyAlignment="1">
      <alignment horizontal="left" vertical="center" wrapText="1" indent="2"/>
    </xf>
    <xf numFmtId="0" fontId="66" fillId="2" borderId="54" xfId="0" applyFont="1" applyFill="1" applyBorder="1" applyAlignment="1">
      <alignment horizontal="center" vertical="center" wrapText="1"/>
    </xf>
    <xf numFmtId="0" fontId="112" fillId="2" borderId="45" xfId="0" applyFont="1" applyFill="1" applyBorder="1" applyAlignment="1">
      <alignment horizontal="left" vertical="center" wrapText="1" indent="2"/>
    </xf>
    <xf numFmtId="0" fontId="83" fillId="9" borderId="75" xfId="37" applyFont="1" applyFill="1" applyBorder="1" applyAlignment="1">
      <alignment horizontal="center" vertical="center" wrapText="1"/>
    </xf>
    <xf numFmtId="0" fontId="23" fillId="2" borderId="58" xfId="36" applyFont="1" applyFill="1" applyBorder="1" applyAlignment="1">
      <alignment horizontal="center" vertical="center" wrapText="1"/>
    </xf>
    <xf numFmtId="0" fontId="11" fillId="2" borderId="46" xfId="37" applyFont="1" applyFill="1" applyBorder="1" applyAlignment="1">
      <alignment vertical="center" wrapText="1"/>
    </xf>
    <xf numFmtId="0" fontId="11" fillId="2" borderId="59" xfId="36" applyFont="1" applyFill="1" applyBorder="1" applyAlignment="1">
      <alignment horizontal="center" vertical="center" wrapText="1"/>
    </xf>
    <xf numFmtId="0" fontId="68" fillId="18" borderId="59" xfId="37" applyFont="1" applyFill="1" applyBorder="1" applyAlignment="1">
      <alignment horizontal="center" vertical="center" wrapText="1"/>
    </xf>
    <xf numFmtId="3" fontId="11" fillId="29" borderId="28" xfId="37" applyNumberFormat="1" applyFont="1" applyFill="1" applyBorder="1" applyAlignment="1">
      <alignment horizontal="right" vertical="center" wrapText="1"/>
    </xf>
    <xf numFmtId="3" fontId="11" fillId="29" borderId="176" xfId="37" applyNumberFormat="1" applyFont="1" applyFill="1" applyBorder="1" applyAlignment="1">
      <alignment horizontal="right" vertical="center" wrapText="1"/>
    </xf>
    <xf numFmtId="49" fontId="26" fillId="29" borderId="176" xfId="36" quotePrefix="1" applyNumberFormat="1" applyFont="1" applyFill="1" applyBorder="1" applyAlignment="1">
      <alignment horizontal="right" vertical="center" wrapText="1"/>
    </xf>
    <xf numFmtId="49" fontId="29" fillId="30" borderId="177" xfId="30" applyNumberFormat="1" applyFont="1" applyFill="1" applyBorder="1" applyAlignment="1" applyProtection="1">
      <alignment horizontal="right" vertical="center" wrapText="1"/>
      <protection locked="0"/>
    </xf>
    <xf numFmtId="49" fontId="11" fillId="30" borderId="177" xfId="36" applyNumberFormat="1" applyFont="1" applyFill="1" applyBorder="1" applyAlignment="1" applyProtection="1">
      <alignment horizontal="right" vertical="center" wrapText="1"/>
      <protection locked="0"/>
    </xf>
    <xf numFmtId="49" fontId="26" fillId="30" borderId="176" xfId="30" applyNumberFormat="1" applyFont="1" applyFill="1" applyBorder="1" applyAlignment="1" applyProtection="1">
      <alignment horizontal="right" vertical="center" wrapText="1"/>
      <protection locked="0"/>
    </xf>
    <xf numFmtId="49" fontId="26" fillId="30" borderId="176" xfId="36" applyNumberFormat="1" applyFont="1" applyFill="1" applyBorder="1" applyAlignment="1" applyProtection="1">
      <alignment horizontal="right" vertical="center" wrapText="1"/>
      <protection locked="0"/>
    </xf>
    <xf numFmtId="49" fontId="26" fillId="30" borderId="178" xfId="36" applyNumberFormat="1" applyFont="1" applyFill="1" applyBorder="1" applyAlignment="1" applyProtection="1">
      <alignment horizontal="right" vertical="center" wrapText="1"/>
      <protection locked="0"/>
    </xf>
    <xf numFmtId="0" fontId="11" fillId="2" borderId="173" xfId="36" applyFont="1" applyFill="1" applyBorder="1" applyAlignment="1">
      <alignment vertical="center" wrapText="1"/>
    </xf>
    <xf numFmtId="0" fontId="11" fillId="2" borderId="174" xfId="36" applyFont="1" applyFill="1" applyBorder="1" applyAlignment="1">
      <alignment horizontal="center" vertical="center" wrapText="1"/>
    </xf>
    <xf numFmtId="0" fontId="29" fillId="12" borderId="172" xfId="36" applyFont="1" applyFill="1" applyBorder="1" applyAlignment="1">
      <alignment horizontal="center" vertical="center" wrapText="1"/>
    </xf>
    <xf numFmtId="0" fontId="29" fillId="12" borderId="173" xfId="36" applyFont="1" applyFill="1" applyBorder="1" applyAlignment="1">
      <alignment vertical="center" wrapText="1"/>
    </xf>
    <xf numFmtId="0" fontId="26" fillId="2" borderId="174" xfId="36" applyFont="1" applyFill="1" applyBorder="1" applyAlignment="1">
      <alignment horizontal="center" vertical="center" wrapText="1"/>
    </xf>
    <xf numFmtId="0" fontId="11" fillId="12" borderId="172" xfId="36" applyFont="1" applyFill="1" applyBorder="1" applyAlignment="1">
      <alignment horizontal="center" vertical="center" wrapText="1"/>
    </xf>
    <xf numFmtId="0" fontId="26" fillId="2" borderId="174" xfId="36" quotePrefix="1" applyFont="1" applyFill="1" applyBorder="1" applyAlignment="1">
      <alignment horizontal="center" vertical="center" wrapText="1"/>
    </xf>
    <xf numFmtId="3" fontId="11" fillId="7" borderId="27" xfId="37" applyNumberFormat="1" applyFont="1" applyFill="1" applyBorder="1" applyAlignment="1">
      <alignment horizontal="right" vertical="center" wrapText="1"/>
    </xf>
    <xf numFmtId="3" fontId="11" fillId="7" borderId="175" xfId="37" applyNumberFormat="1" applyFont="1" applyFill="1" applyBorder="1" applyAlignment="1">
      <alignment horizontal="right" vertical="center" wrapText="1"/>
    </xf>
    <xf numFmtId="49" fontId="26" fillId="7" borderId="175" xfId="36" quotePrefix="1" applyNumberFormat="1" applyFont="1" applyFill="1" applyBorder="1" applyAlignment="1">
      <alignment horizontal="right" vertical="center" wrapText="1"/>
    </xf>
    <xf numFmtId="49" fontId="29" fillId="11" borderId="66" xfId="30" applyNumberFormat="1" applyFont="1" applyFill="1" applyBorder="1" applyAlignment="1" applyProtection="1">
      <alignment horizontal="right" vertical="center" wrapText="1"/>
      <protection locked="0"/>
    </xf>
    <xf numFmtId="49" fontId="11" fillId="8" borderId="66" xfId="36" applyNumberFormat="1" applyFont="1" applyFill="1" applyBorder="1" applyAlignment="1" applyProtection="1">
      <alignment horizontal="right" vertical="center" wrapText="1"/>
      <protection locked="0"/>
    </xf>
    <xf numFmtId="0" fontId="27" fillId="0" borderId="167" xfId="36" applyFont="1" applyBorder="1" applyAlignment="1">
      <alignment horizontal="center" vertical="center" wrapText="1"/>
    </xf>
    <xf numFmtId="0" fontId="68" fillId="28" borderId="145" xfId="36" applyFont="1" applyFill="1" applyBorder="1" applyAlignment="1">
      <alignment horizontal="center" vertical="center" wrapText="1"/>
    </xf>
    <xf numFmtId="0" fontId="68" fillId="28" borderId="168" xfId="36" applyFont="1" applyFill="1" applyBorder="1" applyAlignment="1">
      <alignment horizontal="center" vertical="center" wrapText="1"/>
    </xf>
    <xf numFmtId="0" fontId="68" fillId="28" borderId="180" xfId="36" applyFont="1" applyFill="1" applyBorder="1" applyAlignment="1">
      <alignment horizontal="center" vertical="center" wrapText="1"/>
    </xf>
    <xf numFmtId="0" fontId="68" fillId="28" borderId="180" xfId="37" applyFont="1" applyFill="1" applyBorder="1" applyAlignment="1">
      <alignment horizontal="center" vertical="center" wrapText="1"/>
    </xf>
    <xf numFmtId="0" fontId="68" fillId="28" borderId="175" xfId="37" applyFont="1" applyFill="1" applyBorder="1" applyAlignment="1">
      <alignment horizontal="center" vertical="center" wrapText="1"/>
    </xf>
    <xf numFmtId="0" fontId="68" fillId="28" borderId="181" xfId="37" applyFont="1" applyFill="1" applyBorder="1" applyAlignment="1">
      <alignment horizontal="center" vertical="center" wrapText="1"/>
    </xf>
    <xf numFmtId="0" fontId="68" fillId="18" borderId="174" xfId="36" applyFont="1" applyFill="1" applyBorder="1" applyAlignment="1">
      <alignment horizontal="center" vertical="center" wrapText="1"/>
    </xf>
    <xf numFmtId="0" fontId="68" fillId="0" borderId="174" xfId="36" applyFont="1" applyBorder="1" applyAlignment="1">
      <alignment horizontal="center" vertical="center" wrapText="1"/>
    </xf>
    <xf numFmtId="0" fontId="68" fillId="18" borderId="174" xfId="37" applyFont="1" applyFill="1" applyBorder="1" applyAlignment="1">
      <alignment horizontal="center" vertical="center" wrapText="1"/>
    </xf>
    <xf numFmtId="0" fontId="66" fillId="2" borderId="119" xfId="37" applyFont="1" applyFill="1" applyBorder="1" applyAlignment="1">
      <alignment vertical="center" wrapText="1"/>
    </xf>
    <xf numFmtId="0" fontId="66" fillId="2" borderId="15" xfId="36" applyFont="1" applyFill="1" applyBorder="1" applyAlignment="1">
      <alignment horizontal="center" vertical="center" wrapText="1"/>
    </xf>
    <xf numFmtId="49" fontId="11" fillId="11" borderId="175" xfId="30" applyNumberFormat="1" applyFont="1" applyFill="1" applyBorder="1" applyAlignment="1" applyProtection="1">
      <alignment horizontal="right" vertical="center" wrapText="1"/>
      <protection locked="0"/>
    </xf>
    <xf numFmtId="49" fontId="11" fillId="11" borderId="175" xfId="36" applyNumberFormat="1" applyFont="1" applyFill="1" applyBorder="1" applyAlignment="1" applyProtection="1">
      <alignment horizontal="right" vertical="center" wrapText="1"/>
      <protection locked="0"/>
    </xf>
    <xf numFmtId="49" fontId="11" fillId="11" borderId="179" xfId="36" applyNumberFormat="1" applyFont="1" applyFill="1" applyBorder="1" applyAlignment="1" applyProtection="1">
      <alignment horizontal="right" vertical="center" wrapText="1"/>
      <protection locked="0"/>
    </xf>
    <xf numFmtId="3" fontId="11" fillId="29" borderId="172" xfId="37" applyNumberFormat="1" applyFont="1" applyFill="1" applyBorder="1" applyAlignment="1" applyProtection="1">
      <alignment horizontal="right" vertical="center" wrapText="1"/>
      <protection locked="0"/>
    </xf>
    <xf numFmtId="3" fontId="11" fillId="11" borderId="174" xfId="37" applyNumberFormat="1" applyFont="1" applyFill="1" applyBorder="1" applyAlignment="1" applyProtection="1">
      <alignment horizontal="right" vertical="center" wrapText="1"/>
      <protection locked="0"/>
    </xf>
    <xf numFmtId="0" fontId="98" fillId="0" borderId="122" xfId="37" applyFont="1" applyBorder="1" applyAlignment="1">
      <alignment horizontal="center" vertical="center" wrapText="1"/>
    </xf>
    <xf numFmtId="49" fontId="2" fillId="7" borderId="174" xfId="31" applyNumberFormat="1" applyFont="1" applyFill="1" applyBorder="1" applyAlignment="1" applyProtection="1">
      <alignment horizontal="right" vertical="center"/>
    </xf>
    <xf numFmtId="172" fontId="0" fillId="24" borderId="27" xfId="31" applyNumberFormat="1" applyFont="1" applyFill="1" applyBorder="1" applyAlignment="1" applyProtection="1">
      <alignment horizontal="right" vertical="center"/>
    </xf>
    <xf numFmtId="172" fontId="0" fillId="24" borderId="175" xfId="31" applyNumberFormat="1" applyFont="1" applyFill="1" applyBorder="1" applyAlignment="1" applyProtection="1">
      <alignment horizontal="right" vertical="center"/>
    </xf>
    <xf numFmtId="3" fontId="11" fillId="7" borderId="175" xfId="31" applyNumberFormat="1" applyFont="1" applyFill="1" applyBorder="1" applyAlignment="1" applyProtection="1">
      <alignment horizontal="right" vertical="center"/>
    </xf>
    <xf numFmtId="49" fontId="26" fillId="7" borderId="175" xfId="37" applyNumberFormat="1" applyFont="1" applyFill="1" applyBorder="1" applyAlignment="1">
      <alignment horizontal="right" vertical="center" wrapText="1"/>
    </xf>
    <xf numFmtId="0" fontId="54" fillId="17" borderId="77" xfId="7" applyNumberFormat="1" applyFont="1" applyFill="1" applyBorder="1" applyAlignment="1">
      <alignment horizontal="center" vertical="center" wrapText="1"/>
    </xf>
    <xf numFmtId="4" fontId="109" fillId="24" borderId="175" xfId="31" applyNumberFormat="1" applyFont="1" applyFill="1" applyBorder="1" applyAlignment="1" applyProtection="1">
      <alignment horizontal="right" vertical="center"/>
    </xf>
    <xf numFmtId="4" fontId="109" fillId="24" borderId="104" xfId="31" applyNumberFormat="1" applyFont="1" applyFill="1" applyBorder="1" applyAlignment="1" applyProtection="1">
      <alignment horizontal="right" vertical="center"/>
    </xf>
    <xf numFmtId="181" fontId="0" fillId="7" borderId="174" xfId="30" applyNumberFormat="1" applyFont="1" applyFill="1" applyBorder="1" applyAlignment="1" applyProtection="1">
      <alignment horizontal="right" vertical="center"/>
    </xf>
    <xf numFmtId="172" fontId="0" fillId="24" borderId="13" xfId="31" applyNumberFormat="1" applyFont="1" applyFill="1" applyBorder="1" applyAlignment="1" applyProtection="1">
      <alignment horizontal="right" vertical="center"/>
    </xf>
    <xf numFmtId="49" fontId="0" fillId="7" borderId="14" xfId="0" applyNumberFormat="1" applyFill="1" applyBorder="1" applyAlignment="1">
      <alignment horizontal="right" vertical="center"/>
    </xf>
    <xf numFmtId="0" fontId="2" fillId="10" borderId="17" xfId="0" applyFont="1" applyFill="1" applyBorder="1" applyAlignment="1">
      <alignment horizontal="right" vertical="center"/>
    </xf>
    <xf numFmtId="49" fontId="0" fillId="7" borderId="68" xfId="0" applyNumberFormat="1" applyFill="1" applyBorder="1" applyAlignment="1">
      <alignment horizontal="right" vertical="center"/>
    </xf>
    <xf numFmtId="0" fontId="2" fillId="10" borderId="172" xfId="0" applyFont="1" applyFill="1" applyBorder="1" applyAlignment="1">
      <alignment horizontal="right" vertical="center"/>
    </xf>
    <xf numFmtId="0" fontId="0" fillId="7" borderId="157" xfId="0" applyFill="1" applyBorder="1" applyAlignment="1">
      <alignment horizontal="right" vertical="center"/>
    </xf>
    <xf numFmtId="4" fontId="0" fillId="7" borderId="157" xfId="31" applyNumberFormat="1" applyFont="1" applyFill="1" applyBorder="1" applyAlignment="1" applyProtection="1">
      <alignment horizontal="right" vertical="center"/>
    </xf>
    <xf numFmtId="10" fontId="0" fillId="7" borderId="157" xfId="31" applyNumberFormat="1" applyFont="1" applyFill="1" applyBorder="1" applyAlignment="1" applyProtection="1">
      <alignment horizontal="right" vertical="center"/>
    </xf>
    <xf numFmtId="0" fontId="26" fillId="7" borderId="157" xfId="37" applyFont="1" applyFill="1" applyBorder="1" applyAlignment="1">
      <alignment horizontal="right" vertical="center" wrapText="1"/>
    </xf>
    <xf numFmtId="172" fontId="109" fillId="24" borderId="27" xfId="31" applyNumberFormat="1" applyFont="1" applyFill="1" applyBorder="1" applyAlignment="1" applyProtection="1">
      <alignment horizontal="right" vertical="center"/>
    </xf>
    <xf numFmtId="4" fontId="11" fillId="7" borderId="175" xfId="0" applyNumberFormat="1" applyFont="1" applyFill="1" applyBorder="1" applyAlignment="1">
      <alignment horizontal="right" vertical="center"/>
    </xf>
    <xf numFmtId="0" fontId="26" fillId="7" borderId="175" xfId="0" applyFont="1" applyFill="1" applyBorder="1" applyAlignment="1">
      <alignment horizontal="right" vertical="center"/>
    </xf>
    <xf numFmtId="0" fontId="0" fillId="10" borderId="58" xfId="0" applyFill="1" applyBorder="1"/>
    <xf numFmtId="172" fontId="0" fillId="24" borderId="59" xfId="31" applyNumberFormat="1" applyFont="1" applyFill="1" applyBorder="1" applyAlignment="1" applyProtection="1">
      <alignment horizontal="right" vertical="center"/>
    </xf>
    <xf numFmtId="49" fontId="0" fillId="7" borderId="16" xfId="0" applyNumberFormat="1" applyFill="1" applyBorder="1" applyAlignment="1">
      <alignment horizontal="right" vertical="center"/>
    </xf>
    <xf numFmtId="4" fontId="0" fillId="7" borderId="174" xfId="0" applyNumberFormat="1" applyFill="1" applyBorder="1" applyAlignment="1">
      <alignment horizontal="right" vertical="center"/>
    </xf>
    <xf numFmtId="0" fontId="2" fillId="7" borderId="174" xfId="0" applyFont="1" applyFill="1" applyBorder="1" applyAlignment="1">
      <alignment horizontal="right" vertical="center"/>
    </xf>
    <xf numFmtId="172" fontId="109" fillId="24" borderId="175" xfId="31" applyNumberFormat="1" applyFont="1" applyFill="1" applyBorder="1" applyAlignment="1" applyProtection="1">
      <alignment horizontal="right" vertical="center"/>
    </xf>
    <xf numFmtId="174" fontId="0" fillId="7" borderId="182" xfId="31" applyNumberFormat="1" applyFont="1" applyFill="1" applyBorder="1" applyAlignment="1" applyProtection="1">
      <alignment horizontal="right" vertical="center"/>
    </xf>
    <xf numFmtId="10" fontId="0" fillId="7" borderId="182" xfId="31" quotePrefix="1" applyNumberFormat="1" applyFont="1" applyFill="1" applyBorder="1" applyAlignment="1" applyProtection="1">
      <alignment horizontal="right" vertical="center"/>
    </xf>
    <xf numFmtId="174" fontId="110" fillId="24" borderId="175" xfId="31" applyNumberFormat="1" applyFont="1" applyFill="1" applyBorder="1" applyAlignment="1" applyProtection="1">
      <alignment horizontal="right" vertical="center"/>
    </xf>
    <xf numFmtId="0" fontId="26" fillId="7" borderId="175" xfId="37" applyFont="1" applyFill="1" applyBorder="1" applyAlignment="1">
      <alignment horizontal="right" vertical="center" wrapText="1"/>
    </xf>
    <xf numFmtId="0" fontId="2" fillId="10" borderId="58" xfId="0" applyFont="1" applyFill="1" applyBorder="1" applyAlignment="1">
      <alignment horizontal="right" vertical="center"/>
    </xf>
    <xf numFmtId="4" fontId="2" fillId="10" borderId="17" xfId="0" applyNumberFormat="1" applyFont="1" applyFill="1" applyBorder="1" applyAlignment="1">
      <alignment horizontal="right" vertical="center"/>
    </xf>
    <xf numFmtId="4" fontId="2" fillId="10" borderId="172" xfId="0" applyNumberFormat="1" applyFont="1" applyFill="1" applyBorder="1" applyAlignment="1">
      <alignment horizontal="right" vertical="center"/>
    </xf>
    <xf numFmtId="0" fontId="0" fillId="7" borderId="174" xfId="31" applyNumberFormat="1" applyFont="1" applyFill="1" applyBorder="1" applyAlignment="1" applyProtection="1">
      <alignment horizontal="right" vertical="center"/>
    </xf>
    <xf numFmtId="174" fontId="0" fillId="7" borderId="174" xfId="31" applyNumberFormat="1" applyFont="1" applyFill="1" applyBorder="1" applyAlignment="1" applyProtection="1">
      <alignment horizontal="right" vertical="center"/>
    </xf>
    <xf numFmtId="10" fontId="0" fillId="7" borderId="174" xfId="31" quotePrefix="1" applyNumberFormat="1" applyFont="1" applyFill="1" applyBorder="1" applyAlignment="1" applyProtection="1">
      <alignment horizontal="right" vertical="center"/>
    </xf>
    <xf numFmtId="173" fontId="0" fillId="7" borderId="174" xfId="31" applyNumberFormat="1" applyFont="1" applyFill="1" applyBorder="1" applyAlignment="1" applyProtection="1">
      <alignment horizontal="right" vertical="center"/>
    </xf>
    <xf numFmtId="49" fontId="0" fillId="7" borderId="68" xfId="31" applyNumberFormat="1" applyFont="1" applyFill="1" applyBorder="1" applyAlignment="1" applyProtection="1">
      <alignment horizontal="right" vertical="center"/>
    </xf>
    <xf numFmtId="0" fontId="0" fillId="7" borderId="157" xfId="31" applyNumberFormat="1" applyFont="1" applyFill="1" applyBorder="1" applyAlignment="1" applyProtection="1">
      <alignment horizontal="right" vertical="center"/>
    </xf>
    <xf numFmtId="2" fontId="0" fillId="7" borderId="157" xfId="0" applyNumberFormat="1" applyFill="1" applyBorder="1" applyAlignment="1">
      <alignment vertical="center"/>
    </xf>
    <xf numFmtId="10" fontId="0" fillId="7" borderId="157" xfId="31" applyNumberFormat="1" applyFont="1" applyFill="1" applyBorder="1" applyAlignment="1" applyProtection="1">
      <alignment vertical="center"/>
    </xf>
    <xf numFmtId="4" fontId="0" fillId="7" borderId="175" xfId="31" applyNumberFormat="1" applyFont="1" applyFill="1" applyBorder="1" applyAlignment="1" applyProtection="1">
      <alignment horizontal="right" vertical="center"/>
    </xf>
    <xf numFmtId="4" fontId="0" fillId="24" borderId="175" xfId="31" applyNumberFormat="1" applyFont="1" applyFill="1" applyBorder="1" applyAlignment="1" applyProtection="1">
      <alignment horizontal="right" vertical="center"/>
    </xf>
    <xf numFmtId="4" fontId="0" fillId="24" borderId="104" xfId="31" applyNumberFormat="1" applyFont="1" applyFill="1" applyBorder="1" applyAlignment="1" applyProtection="1">
      <alignment horizontal="right" vertical="center"/>
    </xf>
    <xf numFmtId="4" fontId="2" fillId="10" borderId="17" xfId="30" applyNumberFormat="1" applyFont="1" applyFill="1" applyBorder="1" applyAlignment="1" applyProtection="1">
      <alignment horizontal="right" vertical="center"/>
    </xf>
    <xf numFmtId="49" fontId="0" fillId="7" borderId="16" xfId="31" applyNumberFormat="1" applyFont="1" applyFill="1" applyBorder="1" applyAlignment="1" applyProtection="1">
      <alignment horizontal="right" vertical="center"/>
    </xf>
    <xf numFmtId="172" fontId="0" fillId="7" borderId="174" xfId="31" applyNumberFormat="1" applyFont="1" applyFill="1" applyBorder="1" applyAlignment="1" applyProtection="1">
      <alignment horizontal="right" vertical="center"/>
    </xf>
    <xf numFmtId="10" fontId="4" fillId="7" borderId="175" xfId="31" applyNumberFormat="1" applyFont="1" applyFill="1" applyBorder="1" applyAlignment="1" applyProtection="1">
      <alignment horizontal="right" vertical="center"/>
    </xf>
    <xf numFmtId="4" fontId="2" fillId="10" borderId="175" xfId="30" applyNumberFormat="1" applyFont="1" applyFill="1" applyBorder="1" applyAlignment="1" applyProtection="1">
      <alignment horizontal="right" vertical="center"/>
    </xf>
    <xf numFmtId="49" fontId="11" fillId="8" borderId="59" xfId="36" applyNumberFormat="1" applyFont="1" applyFill="1" applyBorder="1" applyAlignment="1" applyProtection="1">
      <alignment horizontal="right" vertical="center" wrapText="1"/>
      <protection locked="0"/>
    </xf>
    <xf numFmtId="177" fontId="11" fillId="8" borderId="118" xfId="37" applyNumberFormat="1" applyFont="1" applyFill="1" applyBorder="1" applyAlignment="1" applyProtection="1">
      <alignment vertical="center" wrapText="1"/>
      <protection locked="0"/>
    </xf>
    <xf numFmtId="177" fontId="26" fillId="7" borderId="157" xfId="37" applyNumberFormat="1" applyFont="1" applyFill="1" applyBorder="1" applyAlignment="1">
      <alignment horizontal="right" vertical="center" wrapText="1"/>
    </xf>
    <xf numFmtId="177" fontId="11" fillId="8" borderId="174" xfId="37" applyNumberFormat="1" applyFont="1" applyFill="1" applyBorder="1" applyAlignment="1" applyProtection="1">
      <alignment vertical="center" wrapText="1"/>
      <protection locked="0"/>
    </xf>
    <xf numFmtId="0" fontId="115" fillId="7" borderId="43" xfId="0" applyFont="1" applyFill="1" applyBorder="1" applyAlignment="1">
      <alignment horizontal="left" vertical="center" wrapText="1"/>
    </xf>
    <xf numFmtId="175" fontId="11" fillId="0" borderId="0" xfId="0" applyNumberFormat="1" applyFont="1" applyAlignment="1">
      <alignment vertical="center" wrapText="1"/>
    </xf>
    <xf numFmtId="0" fontId="117" fillId="4" borderId="0" xfId="0" applyFont="1" applyFill="1" applyAlignment="1">
      <alignment vertical="center"/>
    </xf>
    <xf numFmtId="0" fontId="118" fillId="2" borderId="45" xfId="0" applyFont="1" applyFill="1" applyBorder="1" applyAlignment="1">
      <alignment horizontal="left" vertical="center" wrapText="1" indent="2"/>
    </xf>
    <xf numFmtId="0" fontId="4" fillId="0" borderId="0" xfId="0" applyFont="1" applyAlignment="1">
      <alignment horizontal="center" vertical="center" wrapText="1"/>
    </xf>
    <xf numFmtId="0" fontId="68" fillId="0" borderId="166" xfId="36" applyFont="1" applyBorder="1" applyAlignment="1">
      <alignment horizontal="center" vertical="center" wrapText="1"/>
    </xf>
    <xf numFmtId="0" fontId="41" fillId="2" borderId="153" xfId="40" applyFont="1" applyFill="1" applyBorder="1" applyAlignment="1">
      <alignment horizontal="left" vertical="center" wrapText="1" indent="2"/>
    </xf>
    <xf numFmtId="0" fontId="11" fillId="2" borderId="175" xfId="0" applyFont="1" applyFill="1" applyBorder="1" applyAlignment="1">
      <alignment horizontal="center" vertical="center" wrapText="1"/>
    </xf>
    <xf numFmtId="0" fontId="11" fillId="2" borderId="153" xfId="36" applyFont="1" applyFill="1" applyBorder="1" applyAlignment="1">
      <alignment horizontal="center" vertical="center" wrapText="1"/>
    </xf>
    <xf numFmtId="0" fontId="11" fillId="2" borderId="153" xfId="36" applyFont="1" applyFill="1" applyBorder="1" applyAlignment="1">
      <alignment vertical="center" wrapText="1"/>
    </xf>
    <xf numFmtId="3" fontId="11" fillId="30" borderId="153" xfId="30" applyNumberFormat="1" applyFont="1" applyFill="1" applyBorder="1" applyAlignment="1" applyProtection="1">
      <alignment horizontal="right" vertical="center" wrapText="1"/>
      <protection locked="0"/>
    </xf>
    <xf numFmtId="0" fontId="66" fillId="2" borderId="153" xfId="0" applyFont="1" applyFill="1" applyBorder="1" applyAlignment="1">
      <alignment vertical="center" wrapText="1"/>
    </xf>
    <xf numFmtId="0" fontId="66" fillId="2" borderId="153" xfId="36" applyFont="1" applyFill="1" applyBorder="1" applyAlignment="1">
      <alignment horizontal="center" vertical="center" wrapText="1"/>
    </xf>
    <xf numFmtId="0" fontId="23" fillId="2" borderId="172" xfId="0" applyFont="1" applyFill="1" applyBorder="1" applyAlignment="1">
      <alignment horizontal="center" vertical="center" wrapText="1"/>
    </xf>
    <xf numFmtId="3" fontId="11" fillId="8" borderId="174" xfId="37" applyNumberFormat="1" applyFont="1" applyFill="1" applyBorder="1" applyAlignment="1" applyProtection="1">
      <alignment horizontal="right" vertical="center" wrapText="1"/>
      <protection locked="0"/>
    </xf>
    <xf numFmtId="0" fontId="41" fillId="2" borderId="153" xfId="40" applyFont="1" applyFill="1" applyBorder="1" applyAlignment="1">
      <alignment horizontal="left" vertical="center" wrapText="1" indent="4"/>
    </xf>
    <xf numFmtId="0" fontId="11" fillId="2" borderId="172" xfId="0" applyFont="1" applyFill="1" applyBorder="1" applyAlignment="1">
      <alignment horizontal="center" vertical="center" wrapText="1"/>
    </xf>
    <xf numFmtId="0" fontId="11" fillId="2" borderId="153" xfId="0" applyFont="1" applyFill="1" applyBorder="1" applyAlignment="1">
      <alignment vertical="center" wrapText="1"/>
    </xf>
    <xf numFmtId="3" fontId="26" fillId="29" borderId="172" xfId="37" applyNumberFormat="1" applyFont="1" applyFill="1" applyBorder="1" applyAlignment="1">
      <alignment horizontal="right" vertical="center" wrapText="1"/>
    </xf>
    <xf numFmtId="3" fontId="26" fillId="7" borderId="174" xfId="37" applyNumberFormat="1" applyFont="1" applyFill="1" applyBorder="1" applyAlignment="1">
      <alignment horizontal="right" vertical="center" wrapText="1"/>
    </xf>
    <xf numFmtId="0" fontId="41" fillId="2" borderId="153" xfId="40" quotePrefix="1" applyFont="1" applyFill="1" applyBorder="1" applyAlignment="1">
      <alignment horizontal="left" vertical="center" wrapText="1" indent="2"/>
    </xf>
    <xf numFmtId="0" fontId="41" fillId="2" borderId="153" xfId="40" quotePrefix="1" applyFont="1" applyFill="1" applyBorder="1" applyAlignment="1">
      <alignment horizontal="left" vertical="center" wrapText="1" indent="5"/>
    </xf>
    <xf numFmtId="0" fontId="23" fillId="2" borderId="172" xfId="0" applyFont="1" applyFill="1" applyBorder="1" applyAlignment="1">
      <alignment horizontal="center" vertical="center"/>
    </xf>
    <xf numFmtId="0" fontId="66" fillId="2" borderId="172" xfId="0" applyFont="1" applyFill="1" applyBorder="1" applyAlignment="1">
      <alignment horizontal="center" vertical="center"/>
    </xf>
    <xf numFmtId="0" fontId="112" fillId="2" borderId="153" xfId="40" quotePrefix="1" applyFont="1" applyFill="1" applyBorder="1" applyAlignment="1">
      <alignment horizontal="left" vertical="center" wrapText="1" indent="2"/>
    </xf>
    <xf numFmtId="0" fontId="66" fillId="2" borderId="175" xfId="0" applyFont="1" applyFill="1" applyBorder="1" applyAlignment="1">
      <alignment horizontal="center" vertical="center" wrapText="1"/>
    </xf>
    <xf numFmtId="3" fontId="11" fillId="7" borderId="174" xfId="37" applyNumberFormat="1" applyFont="1" applyFill="1" applyBorder="1" applyAlignment="1">
      <alignment horizontal="right" vertical="center" wrapText="1"/>
    </xf>
    <xf numFmtId="0" fontId="24" fillId="2" borderId="172" xfId="37" applyFont="1" applyFill="1" applyBorder="1" applyAlignment="1">
      <alignment horizontal="center" vertical="center" wrapText="1"/>
    </xf>
    <xf numFmtId="0" fontId="24" fillId="2" borderId="153" xfId="37" applyFont="1" applyFill="1" applyBorder="1" applyAlignment="1">
      <alignment horizontal="left" vertical="center" wrapText="1"/>
    </xf>
    <xf numFmtId="0" fontId="24" fillId="2" borderId="175" xfId="37" applyFont="1" applyFill="1" applyBorder="1" applyAlignment="1">
      <alignment horizontal="center" vertical="center" wrapText="1"/>
    </xf>
    <xf numFmtId="10" fontId="24" fillId="29" borderId="172" xfId="31" applyNumberFormat="1" applyFont="1" applyFill="1" applyBorder="1" applyAlignment="1" applyProtection="1">
      <alignment horizontal="right" vertical="center" wrapText="1"/>
    </xf>
    <xf numFmtId="10" fontId="24" fillId="7" borderId="174" xfId="31" applyNumberFormat="1" applyFont="1" applyFill="1" applyBorder="1" applyAlignment="1" applyProtection="1">
      <alignment horizontal="right" vertical="center" wrapText="1"/>
    </xf>
    <xf numFmtId="0" fontId="26" fillId="2" borderId="172" xfId="0" applyFont="1" applyFill="1" applyBorder="1" applyAlignment="1">
      <alignment horizontal="center" vertical="center"/>
    </xf>
    <xf numFmtId="0" fontId="26" fillId="2" borderId="153" xfId="0" applyFont="1" applyFill="1" applyBorder="1" applyAlignment="1">
      <alignment vertical="center" wrapText="1"/>
    </xf>
    <xf numFmtId="0" fontId="26" fillId="2" borderId="175" xfId="0" applyFont="1" applyFill="1" applyBorder="1" applyAlignment="1">
      <alignment horizontal="center" vertical="center" wrapText="1"/>
    </xf>
    <xf numFmtId="0" fontId="26" fillId="29" borderId="172" xfId="37" applyFont="1" applyFill="1" applyBorder="1" applyAlignment="1">
      <alignment horizontal="right" vertical="center" wrapText="1"/>
    </xf>
    <xf numFmtId="0" fontId="2" fillId="2" borderId="153" xfId="0" applyFont="1" applyFill="1" applyBorder="1" applyAlignment="1">
      <alignment vertical="center" wrapText="1"/>
    </xf>
    <xf numFmtId="10" fontId="26" fillId="29" borderId="172" xfId="31" applyNumberFormat="1" applyFont="1" applyFill="1" applyBorder="1" applyAlignment="1" applyProtection="1">
      <alignment horizontal="right" vertical="center" wrapText="1"/>
    </xf>
    <xf numFmtId="10" fontId="26" fillId="7" borderId="174" xfId="31" applyNumberFormat="1" applyFont="1" applyFill="1" applyBorder="1" applyAlignment="1" applyProtection="1">
      <alignment horizontal="right" vertical="center" wrapText="1"/>
    </xf>
    <xf numFmtId="0" fontId="23" fillId="2" borderId="185" xfId="0" applyFont="1" applyFill="1" applyBorder="1" applyAlignment="1">
      <alignment horizontal="center" vertical="center"/>
    </xf>
    <xf numFmtId="0" fontId="26" fillId="2" borderId="175" xfId="0" quotePrefix="1" applyFont="1" applyFill="1" applyBorder="1" applyAlignment="1">
      <alignment horizontal="center" vertical="center" wrapText="1"/>
    </xf>
    <xf numFmtId="10" fontId="26" fillId="29" borderId="172" xfId="31" applyNumberFormat="1" applyFont="1" applyFill="1" applyBorder="1" applyAlignment="1" applyProtection="1">
      <alignment horizontal="right" vertical="center"/>
      <protection locked="0"/>
    </xf>
    <xf numFmtId="10" fontId="26" fillId="7" borderId="174" xfId="31" applyNumberFormat="1" applyFont="1" applyFill="1" applyBorder="1" applyAlignment="1" applyProtection="1">
      <alignment horizontal="right" vertical="center"/>
    </xf>
    <xf numFmtId="0" fontId="11" fillId="2" borderId="175" xfId="36" applyFont="1" applyFill="1" applyBorder="1" applyAlignment="1">
      <alignment horizontal="center" vertical="center" wrapText="1"/>
    </xf>
    <xf numFmtId="3" fontId="11" fillId="30" borderId="172" xfId="30" applyNumberFormat="1" applyFont="1" applyFill="1" applyBorder="1" applyAlignment="1" applyProtection="1">
      <alignment horizontal="right" vertical="center" wrapText="1"/>
      <protection locked="0"/>
    </xf>
    <xf numFmtId="3" fontId="11" fillId="11" borderId="174" xfId="30" applyNumberFormat="1" applyFont="1" applyFill="1" applyBorder="1" applyAlignment="1" applyProtection="1">
      <alignment horizontal="right" vertical="center" wrapText="1"/>
      <protection locked="0"/>
    </xf>
    <xf numFmtId="0" fontId="66" fillId="2" borderId="172" xfId="36" applyFont="1" applyFill="1" applyBorder="1" applyAlignment="1">
      <alignment horizontal="center" vertical="center" wrapText="1"/>
    </xf>
    <xf numFmtId="0" fontId="66" fillId="2" borderId="175" xfId="36" applyFont="1" applyFill="1" applyBorder="1" applyAlignment="1">
      <alignment horizontal="center" vertical="center" wrapText="1"/>
    </xf>
    <xf numFmtId="0" fontId="47" fillId="0" borderId="167" xfId="37" applyFont="1" applyBorder="1" applyAlignment="1">
      <alignment horizontal="center" vertical="center" wrapText="1"/>
    </xf>
    <xf numFmtId="0" fontId="27" fillId="0" borderId="167" xfId="0" applyFont="1" applyBorder="1" applyAlignment="1">
      <alignment horizontal="center" vertical="center" wrapText="1"/>
    </xf>
    <xf numFmtId="0" fontId="27" fillId="0" borderId="183" xfId="0" applyFont="1" applyBorder="1" applyAlignment="1">
      <alignment horizontal="center" vertical="center" wrapText="1"/>
    </xf>
    <xf numFmtId="0" fontId="98" fillId="0" borderId="167" xfId="36" applyFont="1" applyBorder="1" applyAlignment="1">
      <alignment horizontal="center" vertical="center" wrapText="1"/>
    </xf>
    <xf numFmtId="0" fontId="68" fillId="28" borderId="168" xfId="37" applyFont="1" applyFill="1" applyBorder="1" applyAlignment="1">
      <alignment horizontal="center" vertical="center" wrapText="1"/>
    </xf>
    <xf numFmtId="0" fontId="68" fillId="28" borderId="169" xfId="36" applyFont="1" applyFill="1" applyBorder="1" applyAlignment="1">
      <alignment horizontal="center" vertical="center" wrapText="1"/>
    </xf>
    <xf numFmtId="0" fontId="68" fillId="20" borderId="174" xfId="37" applyFont="1" applyFill="1" applyBorder="1" applyAlignment="1">
      <alignment horizontal="center" vertical="center" wrapText="1"/>
    </xf>
    <xf numFmtId="0" fontId="68" fillId="19" borderId="174" xfId="37" applyFont="1" applyFill="1" applyBorder="1" applyAlignment="1">
      <alignment horizontal="center" vertical="center" wrapText="1"/>
    </xf>
    <xf numFmtId="0" fontId="68" fillId="4" borderId="174" xfId="36" applyFont="1" applyFill="1" applyBorder="1" applyAlignment="1">
      <alignment horizontal="center" vertical="center" wrapText="1"/>
    </xf>
    <xf numFmtId="49" fontId="2" fillId="34" borderId="174" xfId="31" applyNumberFormat="1" applyFont="1" applyFill="1" applyBorder="1" applyAlignment="1" applyProtection="1">
      <alignment horizontal="right" vertical="center"/>
    </xf>
    <xf numFmtId="0" fontId="83" fillId="2" borderId="172" xfId="37" applyFont="1" applyFill="1" applyBorder="1" applyAlignment="1">
      <alignment horizontal="center" vertical="center" wrapText="1"/>
    </xf>
    <xf numFmtId="0" fontId="83" fillId="2" borderId="153" xfId="0" applyFont="1" applyFill="1" applyBorder="1" applyAlignment="1">
      <alignment vertical="center" wrapText="1"/>
    </xf>
    <xf numFmtId="0" fontId="83" fillId="2" borderId="175" xfId="0" applyFont="1" applyFill="1" applyBorder="1" applyAlignment="1">
      <alignment horizontal="center" vertical="center" wrapText="1"/>
    </xf>
    <xf numFmtId="0" fontId="66" fillId="2" borderId="46" xfId="0" applyFont="1" applyFill="1" applyBorder="1" applyAlignment="1">
      <alignment vertical="center" wrapText="1"/>
    </xf>
    <xf numFmtId="0" fontId="2" fillId="2" borderId="54" xfId="37" applyFont="1" applyFill="1" applyBorder="1" applyAlignment="1">
      <alignment horizontal="center" vertical="center" wrapText="1"/>
    </xf>
    <xf numFmtId="0" fontId="2" fillId="2" borderId="45" xfId="37" applyFont="1" applyFill="1" applyBorder="1" applyAlignment="1">
      <alignment vertical="center" wrapText="1"/>
    </xf>
    <xf numFmtId="0" fontId="2" fillId="2" borderId="63" xfId="37" applyFont="1" applyFill="1" applyBorder="1" applyAlignment="1">
      <alignment horizontal="center" vertical="center" wrapText="1"/>
    </xf>
    <xf numFmtId="4" fontId="2" fillId="7" borderId="101" xfId="37" applyNumberFormat="1" applyFont="1" applyFill="1" applyBorder="1" applyAlignment="1">
      <alignment horizontal="right" vertical="center" wrapText="1"/>
    </xf>
    <xf numFmtId="0" fontId="66" fillId="2" borderId="185" xfId="36" applyFont="1" applyFill="1" applyBorder="1" applyAlignment="1">
      <alignment horizontal="center" vertical="center" wrapText="1"/>
    </xf>
    <xf numFmtId="0" fontId="66" fillId="2" borderId="137" xfId="0" applyFont="1" applyFill="1" applyBorder="1" applyAlignment="1">
      <alignment vertical="center" wrapText="1"/>
    </xf>
    <xf numFmtId="0" fontId="66" fillId="2" borderId="137" xfId="36" applyFont="1" applyFill="1" applyBorder="1" applyAlignment="1">
      <alignment horizontal="center" vertical="center" wrapText="1"/>
    </xf>
    <xf numFmtId="3" fontId="11" fillId="30" borderId="137" xfId="30" applyNumberFormat="1" applyFont="1" applyFill="1" applyBorder="1" applyAlignment="1" applyProtection="1">
      <alignment horizontal="right" vertical="center" wrapText="1"/>
      <protection locked="0"/>
    </xf>
    <xf numFmtId="43" fontId="26" fillId="7" borderId="138" xfId="30" applyFont="1" applyFill="1" applyBorder="1" applyAlignment="1" applyProtection="1">
      <alignment horizontal="right" vertical="center"/>
    </xf>
    <xf numFmtId="0" fontId="98" fillId="0" borderId="183" xfId="36" applyFont="1" applyBorder="1" applyAlignment="1">
      <alignment horizontal="center" vertical="center" wrapText="1"/>
    </xf>
    <xf numFmtId="0" fontId="68" fillId="0" borderId="138" xfId="36" applyFont="1" applyBorder="1" applyAlignment="1">
      <alignment horizontal="center" vertical="center" wrapText="1"/>
    </xf>
    <xf numFmtId="0" fontId="11" fillId="2" borderId="173" xfId="36" applyFont="1" applyFill="1" applyBorder="1" applyAlignment="1">
      <alignment horizontal="center" vertical="center" wrapText="1"/>
    </xf>
    <xf numFmtId="0" fontId="100" fillId="0" borderId="0" xfId="0" applyFont="1" applyProtection="1">
      <protection locked="0"/>
    </xf>
    <xf numFmtId="179" fontId="114" fillId="7" borderId="43" xfId="0" applyNumberFormat="1" applyFont="1" applyFill="1" applyBorder="1" applyAlignment="1">
      <alignment horizontal="center" vertical="center"/>
    </xf>
    <xf numFmtId="3" fontId="11" fillId="8" borderId="109" xfId="0" applyNumberFormat="1" applyFont="1" applyFill="1" applyBorder="1" applyAlignment="1" applyProtection="1">
      <alignment horizontal="center" vertical="center"/>
      <protection locked="0"/>
    </xf>
    <xf numFmtId="3" fontId="0" fillId="8" borderId="109" xfId="0" applyNumberFormat="1" applyFill="1" applyBorder="1" applyAlignment="1" applyProtection="1">
      <alignment horizontal="center" vertical="center"/>
      <protection locked="0"/>
    </xf>
    <xf numFmtId="168" fontId="11" fillId="8" borderId="145" xfId="7" applyFont="1" applyFill="1" applyBorder="1" applyAlignment="1" applyProtection="1">
      <alignment horizontal="right" vertical="center" wrapText="1"/>
      <protection locked="0"/>
    </xf>
    <xf numFmtId="4" fontId="0" fillId="33" borderId="168" xfId="0" applyNumberFormat="1" applyFill="1" applyBorder="1" applyAlignment="1" applyProtection="1">
      <alignment horizontal="right" vertical="center"/>
      <protection locked="0"/>
    </xf>
    <xf numFmtId="3" fontId="0" fillId="33" borderId="168" xfId="0" applyNumberFormat="1" applyFill="1" applyBorder="1" applyAlignment="1" applyProtection="1">
      <alignment horizontal="right" vertical="center"/>
      <protection locked="0"/>
    </xf>
    <xf numFmtId="168" fontId="11" fillId="8" borderId="24" xfId="7" applyFont="1" applyFill="1" applyBorder="1" applyAlignment="1" applyProtection="1">
      <alignment horizontal="right" vertical="center" wrapText="1"/>
      <protection locked="0"/>
    </xf>
    <xf numFmtId="168" fontId="11" fillId="8" borderId="167" xfId="7" applyFont="1" applyFill="1" applyBorder="1" applyAlignment="1" applyProtection="1">
      <alignment horizontal="right" vertical="center" wrapText="1"/>
      <protection locked="0"/>
    </xf>
    <xf numFmtId="49" fontId="0" fillId="7" borderId="24" xfId="0" applyNumberFormat="1" applyFill="1" applyBorder="1" applyAlignment="1">
      <alignment horizontal="right" vertical="center"/>
    </xf>
    <xf numFmtId="49" fontId="0" fillId="7" borderId="167" xfId="0" applyNumberFormat="1" applyFill="1" applyBorder="1" applyAlignment="1">
      <alignment horizontal="right" vertical="center"/>
    </xf>
    <xf numFmtId="3" fontId="11" fillId="8" borderId="126" xfId="37" applyNumberFormat="1" applyFont="1" applyFill="1" applyBorder="1" applyAlignment="1" applyProtection="1">
      <alignment horizontal="right" vertical="center" wrapText="1"/>
      <protection locked="0"/>
    </xf>
    <xf numFmtId="3" fontId="11" fillId="8" borderId="129" xfId="37" applyNumberFormat="1" applyFont="1" applyFill="1" applyBorder="1" applyAlignment="1" applyProtection="1">
      <alignment horizontal="right" vertical="center" wrapText="1"/>
      <protection locked="0"/>
    </xf>
    <xf numFmtId="0" fontId="78" fillId="7" borderId="78" xfId="0" applyFont="1" applyFill="1" applyBorder="1" applyAlignment="1">
      <alignment horizontal="center" vertical="center" wrapText="1"/>
    </xf>
    <xf numFmtId="0" fontId="78" fillId="7" borderId="79" xfId="0" applyFont="1" applyFill="1" applyBorder="1" applyAlignment="1">
      <alignment horizontal="center" vertical="center" wrapText="1"/>
    </xf>
    <xf numFmtId="0" fontId="78" fillId="7" borderId="80" xfId="0" applyFont="1" applyFill="1" applyBorder="1" applyAlignment="1">
      <alignment horizontal="center" vertical="center" wrapText="1"/>
    </xf>
    <xf numFmtId="0" fontId="64" fillId="0" borderId="0" xfId="0" applyFont="1" applyAlignment="1">
      <alignment horizontal="left" vertical="center"/>
    </xf>
    <xf numFmtId="0" fontId="82" fillId="16" borderId="48" xfId="3" applyNumberFormat="1" applyFont="1" applyFill="1" applyBorder="1" applyAlignment="1" applyProtection="1">
      <alignment horizontal="left" vertical="center" wrapText="1" indent="1"/>
    </xf>
    <xf numFmtId="0" fontId="82" fillId="16" borderId="49" xfId="3" applyNumberFormat="1" applyFont="1" applyFill="1" applyBorder="1" applyAlignment="1" applyProtection="1">
      <alignment horizontal="left" vertical="center" wrapText="1" indent="1"/>
    </xf>
    <xf numFmtId="0" fontId="82" fillId="16" borderId="50" xfId="3" applyNumberFormat="1" applyFont="1" applyFill="1" applyBorder="1" applyAlignment="1" applyProtection="1">
      <alignment horizontal="left" vertical="center" wrapText="1" indent="1"/>
    </xf>
    <xf numFmtId="0" fontId="82" fillId="16" borderId="51" xfId="3" applyNumberFormat="1" applyFont="1" applyFill="1" applyBorder="1" applyAlignment="1" applyProtection="1">
      <alignment horizontal="left" vertical="center" wrapText="1" indent="1"/>
    </xf>
    <xf numFmtId="0" fontId="82" fillId="16" borderId="52" xfId="3" applyNumberFormat="1" applyFont="1" applyFill="1" applyBorder="1" applyAlignment="1" applyProtection="1">
      <alignment horizontal="left" vertical="center" wrapText="1" indent="1"/>
    </xf>
    <xf numFmtId="0" fontId="82" fillId="16" borderId="53" xfId="3" applyNumberFormat="1" applyFont="1" applyFill="1" applyBorder="1" applyAlignment="1" applyProtection="1">
      <alignment horizontal="left" vertical="center" wrapText="1" indent="1"/>
    </xf>
    <xf numFmtId="0" fontId="82" fillId="16" borderId="60" xfId="3" applyNumberFormat="1" applyFont="1" applyFill="1" applyBorder="1" applyAlignment="1" applyProtection="1">
      <alignment horizontal="left" vertical="center" wrapText="1" indent="1"/>
    </xf>
    <xf numFmtId="0" fontId="82" fillId="16" borderId="61" xfId="3" applyNumberFormat="1" applyFont="1" applyFill="1" applyBorder="1" applyAlignment="1" applyProtection="1">
      <alignment horizontal="left" vertical="center" wrapText="1" indent="1"/>
    </xf>
    <xf numFmtId="0" fontId="82" fillId="16" borderId="62" xfId="3" applyNumberFormat="1" applyFont="1" applyFill="1" applyBorder="1" applyAlignment="1" applyProtection="1">
      <alignment horizontal="left" vertical="center" wrapText="1" indent="1"/>
    </xf>
    <xf numFmtId="0" fontId="86" fillId="21" borderId="81" xfId="3" applyNumberFormat="1" applyFont="1" applyFill="1" applyBorder="1" applyAlignment="1" applyProtection="1">
      <alignment horizontal="left" vertical="center" indent="1"/>
    </xf>
    <xf numFmtId="0" fontId="86" fillId="21" borderId="82" xfId="3" applyNumberFormat="1" applyFont="1" applyFill="1" applyBorder="1" applyAlignment="1" applyProtection="1">
      <alignment horizontal="left" vertical="center" indent="1"/>
    </xf>
    <xf numFmtId="0" fontId="86" fillId="21" borderId="83" xfId="3" applyNumberFormat="1" applyFont="1" applyFill="1" applyBorder="1" applyAlignment="1" applyProtection="1">
      <alignment horizontal="left" vertical="center" indent="1"/>
    </xf>
    <xf numFmtId="0" fontId="82" fillId="16" borderId="84" xfId="3" applyNumberFormat="1" applyFont="1" applyFill="1" applyBorder="1" applyAlignment="1" applyProtection="1">
      <alignment horizontal="left" vertical="center" wrapText="1" indent="1"/>
    </xf>
    <xf numFmtId="0" fontId="82" fillId="16" borderId="85" xfId="3" applyNumberFormat="1" applyFont="1" applyFill="1" applyBorder="1" applyAlignment="1" applyProtection="1">
      <alignment horizontal="left" vertical="center" wrapText="1" indent="1"/>
    </xf>
    <xf numFmtId="0" fontId="82" fillId="16" borderId="86" xfId="3" applyNumberFormat="1" applyFont="1" applyFill="1" applyBorder="1" applyAlignment="1" applyProtection="1">
      <alignment horizontal="left" vertical="center" wrapText="1" indent="1"/>
    </xf>
    <xf numFmtId="0" fontId="68" fillId="31" borderId="100" xfId="36" applyFont="1" applyFill="1" applyBorder="1" applyAlignment="1">
      <alignment horizontal="center" vertical="center" wrapText="1"/>
    </xf>
    <xf numFmtId="0" fontId="68" fillId="0" borderId="101" xfId="36" applyFont="1" applyBorder="1" applyAlignment="1">
      <alignment horizontal="center" vertical="center" wrapText="1"/>
    </xf>
    <xf numFmtId="0" fontId="68" fillId="31" borderId="100" xfId="37" applyFont="1" applyFill="1" applyBorder="1" applyAlignment="1">
      <alignment horizontal="center" vertical="center" wrapText="1"/>
    </xf>
    <xf numFmtId="0" fontId="68" fillId="0" borderId="101" xfId="37" applyFont="1" applyBorder="1" applyAlignment="1">
      <alignment horizontal="center" vertical="center" wrapText="1"/>
    </xf>
    <xf numFmtId="0" fontId="0" fillId="31" borderId="100" xfId="0" applyFill="1" applyBorder="1" applyAlignment="1">
      <alignment horizontal="center" vertical="center" wrapText="1"/>
    </xf>
    <xf numFmtId="0" fontId="0" fillId="0" borderId="101" xfId="0" applyBorder="1" applyAlignment="1">
      <alignment horizontal="center" vertical="center" wrapText="1"/>
    </xf>
    <xf numFmtId="0" fontId="68" fillId="28" borderId="100" xfId="37" applyFont="1" applyFill="1" applyBorder="1" applyAlignment="1">
      <alignment horizontal="center" vertical="center" wrapText="1"/>
    </xf>
    <xf numFmtId="0" fontId="68" fillId="28" borderId="168" xfId="37" applyFont="1" applyFill="1" applyBorder="1" applyAlignment="1">
      <alignment horizontal="center" vertical="center" wrapText="1"/>
    </xf>
    <xf numFmtId="0" fontId="0" fillId="28" borderId="168" xfId="0" applyFill="1" applyBorder="1" applyAlignment="1">
      <alignment horizontal="center" vertical="center" wrapText="1"/>
    </xf>
    <xf numFmtId="0" fontId="68" fillId="28" borderId="100" xfId="36" applyFont="1" applyFill="1" applyBorder="1" applyAlignment="1">
      <alignment horizontal="center" vertical="center" wrapText="1"/>
    </xf>
    <xf numFmtId="0" fontId="0" fillId="28" borderId="100" xfId="0" applyFill="1" applyBorder="1" applyAlignment="1">
      <alignment horizontal="center" vertical="center" wrapText="1"/>
    </xf>
    <xf numFmtId="0" fontId="68" fillId="0" borderId="138" xfId="37" applyFont="1" applyBorder="1" applyAlignment="1">
      <alignment horizontal="center" vertical="center" wrapText="1"/>
    </xf>
    <xf numFmtId="0" fontId="68" fillId="0" borderId="74" xfId="37" applyFont="1" applyBorder="1" applyAlignment="1">
      <alignment horizontal="center" vertical="center" wrapText="1"/>
    </xf>
    <xf numFmtId="0" fontId="0" fillId="0" borderId="74" xfId="0" applyBorder="1" applyAlignment="1">
      <alignment horizontal="center" vertical="center" wrapText="1"/>
    </xf>
    <xf numFmtId="0" fontId="0" fillId="0" borderId="14" xfId="0" applyBorder="1" applyAlignment="1">
      <alignment horizontal="center" vertical="center" wrapText="1"/>
    </xf>
    <xf numFmtId="0" fontId="68" fillId="0" borderId="183" xfId="37" applyFont="1" applyBorder="1" applyAlignment="1">
      <alignment horizontal="center" vertical="center" wrapText="1"/>
    </xf>
    <xf numFmtId="0" fontId="68" fillId="0" borderId="184" xfId="37" applyFont="1" applyBorder="1" applyAlignment="1">
      <alignment horizontal="center" vertical="center" wrapText="1"/>
    </xf>
    <xf numFmtId="0" fontId="68" fillId="0" borderId="23" xfId="37" applyFont="1" applyBorder="1" applyAlignment="1">
      <alignment horizontal="center" vertical="center" wrapText="1"/>
    </xf>
    <xf numFmtId="0" fontId="68" fillId="0" borderId="167" xfId="36" applyFont="1" applyBorder="1" applyAlignment="1">
      <alignment horizontal="center" vertical="center" wrapText="1"/>
    </xf>
    <xf numFmtId="0" fontId="68" fillId="0" borderId="0" xfId="37" applyFont="1" applyAlignment="1">
      <alignment horizontal="center" vertical="center" wrapText="1"/>
    </xf>
    <xf numFmtId="0" fontId="68" fillId="0" borderId="167" xfId="37" applyFont="1" applyBorder="1" applyAlignment="1">
      <alignment horizontal="center" vertical="center" wrapText="1"/>
    </xf>
    <xf numFmtId="0" fontId="68" fillId="0" borderId="183" xfId="37" quotePrefix="1" applyFont="1" applyBorder="1" applyAlignment="1">
      <alignment horizontal="center" vertical="center" wrapText="1"/>
    </xf>
    <xf numFmtId="0" fontId="4" fillId="0" borderId="184" xfId="0" applyFont="1" applyBorder="1" applyAlignment="1">
      <alignment horizontal="center" vertical="center" wrapText="1"/>
    </xf>
    <xf numFmtId="0" fontId="0" fillId="0" borderId="23" xfId="0" applyBorder="1" applyAlignment="1">
      <alignment horizontal="center" vertical="center" wrapText="1"/>
    </xf>
    <xf numFmtId="0" fontId="68" fillId="0" borderId="162" xfId="37" applyFont="1" applyBorder="1" applyAlignment="1">
      <alignment horizontal="center" vertical="center" wrapText="1"/>
    </xf>
    <xf numFmtId="0" fontId="68" fillId="0" borderId="184" xfId="37" quotePrefix="1" applyFont="1" applyBorder="1" applyAlignment="1">
      <alignment horizontal="center" vertical="center" wrapText="1"/>
    </xf>
    <xf numFmtId="0" fontId="68" fillId="0" borderId="23" xfId="37" quotePrefix="1" applyFont="1" applyBorder="1" applyAlignment="1">
      <alignment horizontal="center" vertical="center" wrapText="1"/>
    </xf>
    <xf numFmtId="0" fontId="68" fillId="0" borderId="0" xfId="36" applyFont="1" applyAlignment="1">
      <alignment horizontal="center" vertical="center" wrapText="1"/>
    </xf>
    <xf numFmtId="168" fontId="54" fillId="17" borderId="13" xfId="7" applyFont="1" applyFill="1" applyBorder="1" applyAlignment="1">
      <alignment horizontal="center" vertical="center" wrapText="1"/>
    </xf>
    <xf numFmtId="168" fontId="54" fillId="17" borderId="100" xfId="7" applyFont="1" applyFill="1" applyBorder="1" applyAlignment="1">
      <alignment horizontal="center" vertical="center" wrapText="1"/>
    </xf>
    <xf numFmtId="168" fontId="54" fillId="17" borderId="98" xfId="7" applyFont="1" applyFill="1" applyBorder="1" applyAlignment="1">
      <alignment horizontal="center" vertical="center" wrapText="1"/>
    </xf>
    <xf numFmtId="168" fontId="54" fillId="17" borderId="54" xfId="7" applyFont="1" applyFill="1" applyBorder="1" applyAlignment="1">
      <alignment horizontal="center" vertical="center" wrapText="1"/>
    </xf>
    <xf numFmtId="168" fontId="54" fillId="17" borderId="55" xfId="7" applyFont="1" applyFill="1" applyBorder="1" applyAlignment="1">
      <alignment horizontal="center" vertical="center" wrapText="1"/>
    </xf>
    <xf numFmtId="168" fontId="54" fillId="17" borderId="17" xfId="7" applyFont="1" applyFill="1" applyBorder="1" applyAlignment="1">
      <alignment horizontal="center" vertical="center" wrapText="1"/>
    </xf>
    <xf numFmtId="0" fontId="54" fillId="17" borderId="20" xfId="7" applyNumberFormat="1" applyFont="1" applyFill="1" applyBorder="1" applyAlignment="1">
      <alignment horizontal="center" vertical="center" wrapText="1"/>
    </xf>
    <xf numFmtId="0" fontId="54" fillId="17" borderId="22" xfId="7" applyNumberFormat="1" applyFont="1" applyFill="1" applyBorder="1" applyAlignment="1">
      <alignment horizontal="center" vertical="center" wrapText="1"/>
    </xf>
  </cellXfs>
  <cellStyles count="8762">
    <cellStyle name="Collegamento ipertestuale" xfId="3" builtinId="8"/>
    <cellStyle name="Collegamento ipertestuale 2" xfId="44" xr:uid="{00000000-0005-0000-0000-000001000000}"/>
    <cellStyle name="Collegamento ipertestuale 3" xfId="82" xr:uid="{F3F0C804-F3DA-474D-871C-F47572D6B4D8}"/>
    <cellStyle name="ColLevel_1_BE (2)" xfId="15" xr:uid="{00000000-0005-0000-0000-000002000000}"/>
    <cellStyle name="Colore 3 2" xfId="53" xr:uid="{00000000-0005-0000-0000-000003000000}"/>
    <cellStyle name="Date" xfId="16" xr:uid="{00000000-0005-0000-0000-000004000000}"/>
    <cellStyle name="Euro" xfId="17" xr:uid="{00000000-0005-0000-0000-000005000000}"/>
    <cellStyle name="Euro 3 2" xfId="1" xr:uid="{00000000-0005-0000-0000-000006000000}"/>
    <cellStyle name="Excel Built-in Normal" xfId="37" xr:uid="{00000000-0005-0000-0000-000007000000}"/>
    <cellStyle name="Excel Built-in Normal 2" xfId="40" xr:uid="{00000000-0005-0000-0000-000008000000}"/>
    <cellStyle name="Followed Hyperlink" xfId="2" xr:uid="{00000000-0005-0000-0000-000009000000}"/>
    <cellStyle name="Input 2" xfId="72" xr:uid="{B61D9A7C-E789-47A6-A919-951FDDE6A71F}"/>
    <cellStyle name="Migliaia" xfId="30" builtinId="3"/>
    <cellStyle name="Migliaia (0)_CDM_2nov99_TAsse" xfId="18" xr:uid="{00000000-0005-0000-0000-00000B000000}"/>
    <cellStyle name="Migliaia [0] 2" xfId="19" xr:uid="{00000000-0005-0000-0000-00000C000000}"/>
    <cellStyle name="Migliaia [0] 2 2" xfId="57" xr:uid="{00000000-0005-0000-0000-00000D000000}"/>
    <cellStyle name="Migliaia [0] 2 3" xfId="95" xr:uid="{A525BD99-A598-49CA-82CA-D2BDC56EFF0D}"/>
    <cellStyle name="Migliaia [0] 2 3 2" xfId="167" xr:uid="{5FCB48A7-6835-495E-A135-F6B6609A8CC7}"/>
    <cellStyle name="Migliaia [0] 2 3 2 2" xfId="304" xr:uid="{DD55FF7D-5160-4EED-A8A1-867E7D60CC3E}"/>
    <cellStyle name="Migliaia [0] 2 3 2 2 2" xfId="1152" xr:uid="{750A7074-8A70-4F0C-8975-0F6E6B7B7F0E}"/>
    <cellStyle name="Migliaia [0] 2 3 2 3" xfId="478" xr:uid="{83FB5FE4-25B4-4D1C-9AA9-1ECE75416794}"/>
    <cellStyle name="Migliaia [0] 2 3 2 3 2" xfId="1326" xr:uid="{940D779E-0168-4FB8-8DBD-D229DBF49F81}"/>
    <cellStyle name="Migliaia [0] 2 3 2 4" xfId="1015" xr:uid="{60E3E1E8-6DBA-4719-8187-88375FB8D49D}"/>
    <cellStyle name="Migliaia [0] 2 3 3" xfId="235" xr:uid="{94DD5466-A2DB-4FE0-A971-D968ACF93140}"/>
    <cellStyle name="Migliaia [0] 2 3 3 2" xfId="1083" xr:uid="{F12F7942-75C1-4028-8D9C-F7D68CFA0E03}"/>
    <cellStyle name="Migliaia [0] 2 3 4" xfId="407" xr:uid="{05F2643D-F765-4D6D-9F91-FECE3DB37EE9}"/>
    <cellStyle name="Migliaia [0] 2 3 4 2" xfId="1255" xr:uid="{E0F3ED62-8330-4675-8C3E-C2334F4F46C5}"/>
    <cellStyle name="Migliaia [0] 2 3 5" xfId="945" xr:uid="{447D4076-8C49-4DDB-86A4-4FB2209DAA9A}"/>
    <cellStyle name="Migliaia [0] 2 3 6" xfId="845" xr:uid="{04C193E1-9177-4621-8FDE-E502570E0CE7}"/>
    <cellStyle name="Migliaia [0] 2 4" xfId="133" xr:uid="{6632202E-2BF5-41D6-B716-E7682C857298}"/>
    <cellStyle name="Migliaia [0] 2 4 2" xfId="273" xr:uid="{E4E2AADB-86A6-460A-8701-A06D3DD1F736}"/>
    <cellStyle name="Migliaia [0] 2 4 2 2" xfId="1121" xr:uid="{5F87213E-27FB-4BEC-8E03-6CFACDEDF28A}"/>
    <cellStyle name="Migliaia [0] 2 4 3" xfId="445" xr:uid="{FBFA56D9-95FC-43F4-8C61-D4E4A3D31E04}"/>
    <cellStyle name="Migliaia [0] 2 4 3 2" xfId="1293" xr:uid="{9A3133D9-F667-479F-BE3E-60B6E1AFEBDB}"/>
    <cellStyle name="Migliaia [0] 2 4 4" xfId="983" xr:uid="{6D3DD0F6-0BAD-4CFF-9021-2FF499130D49}"/>
    <cellStyle name="Migliaia [0] 2 4 5" xfId="800" xr:uid="{0D510496-AA77-4D70-9013-C3FDCB5A2C1E}"/>
    <cellStyle name="Migliaia [0] 2 5" xfId="203" xr:uid="{2339196A-34CE-463B-8CFD-04234DD74315}"/>
    <cellStyle name="Migliaia [0] 2 5 2" xfId="1051" xr:uid="{5C8D5EFD-B791-489F-A591-9F475B8DAA5A}"/>
    <cellStyle name="Migliaia [0] 2 6" xfId="371" xr:uid="{CB3FDCE9-DCD6-4F34-9FEC-383DE03F2C89}"/>
    <cellStyle name="Migliaia [0] 2 6 2" xfId="1219" xr:uid="{8BCF56C1-D71D-48EB-B105-4A0796C70015}"/>
    <cellStyle name="Migliaia [0] 2 7" xfId="1612" xr:uid="{F65287B1-16C3-4A08-B355-3EA498B655E1}"/>
    <cellStyle name="Migliaia [0] 2 8" xfId="895" xr:uid="{CFA8C3AC-D973-46B9-96EA-C848085A83B1}"/>
    <cellStyle name="Migliaia [0] 3" xfId="20" xr:uid="{00000000-0005-0000-0000-00000E000000}"/>
    <cellStyle name="Migliaia [0] 3 2" xfId="58" xr:uid="{00000000-0005-0000-0000-00000F000000}"/>
    <cellStyle name="Migliaia [0] 3 3" xfId="96" xr:uid="{FD584BCB-23D6-47F8-B85A-F93173893866}"/>
    <cellStyle name="Migliaia [0] 3 3 2" xfId="168" xr:uid="{9DD8886D-099D-4B55-856D-FF4CB1DA56CB}"/>
    <cellStyle name="Migliaia [0] 3 3 2 2" xfId="305" xr:uid="{DD61D9C7-0A6C-405D-8B17-EED332CFE4BF}"/>
    <cellStyle name="Migliaia [0] 3 3 2 2 2" xfId="1153" xr:uid="{77DECD38-C3F1-4FF5-9300-3E71CA25A164}"/>
    <cellStyle name="Migliaia [0] 3 3 2 3" xfId="479" xr:uid="{38D0E544-5A0F-4D99-9B33-417F6D92D423}"/>
    <cellStyle name="Migliaia [0] 3 3 2 3 2" xfId="1327" xr:uid="{A19CC2BF-808D-45F7-A9C1-FB132A58A669}"/>
    <cellStyle name="Migliaia [0] 3 3 2 4" xfId="1016" xr:uid="{3876A840-33B5-40D0-97AC-969C630769B6}"/>
    <cellStyle name="Migliaia [0] 3 3 3" xfId="236" xr:uid="{D881CF43-2567-40A8-8DCD-92A969D9F126}"/>
    <cellStyle name="Migliaia [0] 3 3 3 2" xfId="1084" xr:uid="{E3B1A2FD-A14C-407A-BC34-9C086CAB1FD4}"/>
    <cellStyle name="Migliaia [0] 3 3 4" xfId="408" xr:uid="{7851BCB4-D925-416E-8E08-DFB4409EF021}"/>
    <cellStyle name="Migliaia [0] 3 3 4 2" xfId="1256" xr:uid="{4121D96F-8D08-4B07-A09A-D0DAA9EA3D7B}"/>
    <cellStyle name="Migliaia [0] 3 3 5" xfId="946" xr:uid="{D7A5288D-1A7A-4550-9C15-6F6B22EE2C81}"/>
    <cellStyle name="Migliaia [0] 3 3 6" xfId="846" xr:uid="{CCE080CA-2030-4AF4-9440-0CDB00227185}"/>
    <cellStyle name="Migliaia [0] 3 4" xfId="134" xr:uid="{0CA46BA1-A3BD-403D-ADC8-2637BEE7CAD6}"/>
    <cellStyle name="Migliaia [0] 3 4 2" xfId="274" xr:uid="{0DE1817B-1CA8-4115-BC69-CBE30D3E2C2A}"/>
    <cellStyle name="Migliaia [0] 3 4 2 2" xfId="1122" xr:uid="{5E03C650-5D73-4643-8B7E-96AB56CDF5C4}"/>
    <cellStyle name="Migliaia [0] 3 4 3" xfId="446" xr:uid="{4B0B4140-E440-4D0C-B61D-D7D0153D8B4A}"/>
    <cellStyle name="Migliaia [0] 3 4 3 2" xfId="1294" xr:uid="{C3BCC5C6-C22C-4A7A-8702-120CE0245638}"/>
    <cellStyle name="Migliaia [0] 3 4 4" xfId="984" xr:uid="{2DFCC4E4-ACA7-4DDF-A892-437F5556D0EF}"/>
    <cellStyle name="Migliaia [0] 3 4 5" xfId="801" xr:uid="{1515B996-290D-4735-BF00-6D70D0860BC8}"/>
    <cellStyle name="Migliaia [0] 3 5" xfId="204" xr:uid="{ADDBE1F2-E843-4475-88B5-D5BA0A2BAACF}"/>
    <cellStyle name="Migliaia [0] 3 5 2" xfId="1052" xr:uid="{D4436B4F-4CC4-4B84-AC04-2591C444306A}"/>
    <cellStyle name="Migliaia [0] 3 6" xfId="372" xr:uid="{F7C3C896-9B23-4495-A3EB-3B71927F33FB}"/>
    <cellStyle name="Migliaia [0] 3 6 2" xfId="1220" xr:uid="{1E238DCA-0DEE-4C22-B439-E5FE90F32023}"/>
    <cellStyle name="Migliaia [0] 3 7" xfId="1613" xr:uid="{82D7677F-6089-4D5C-ACE7-2093B39E8EC1}"/>
    <cellStyle name="Migliaia [0] 3 8" xfId="896" xr:uid="{EC29480C-49CB-4F14-93FB-86B946C0B574}"/>
    <cellStyle name="Migliaia 10" xfId="4" xr:uid="{00000000-0005-0000-0000-000010000000}"/>
    <cellStyle name="Migliaia 10 2" xfId="5" xr:uid="{00000000-0005-0000-0000-000011000000}"/>
    <cellStyle name="Migliaia 10 2 2" xfId="55" xr:uid="{00000000-0005-0000-0000-000012000000}"/>
    <cellStyle name="Migliaia 10 2 3" xfId="92" xr:uid="{4AA9AFA7-ED48-42C5-886D-5812D1BEB235}"/>
    <cellStyle name="Migliaia 10 2 3 2" xfId="164" xr:uid="{5BDDFF28-3E43-4D3D-8690-7A420D8047E7}"/>
    <cellStyle name="Migliaia 10 2 3 2 2" xfId="301" xr:uid="{346B8CD5-0316-4EC2-B79D-25298E50A7A4}"/>
    <cellStyle name="Migliaia 10 2 3 2 2 2" xfId="1149" xr:uid="{D244F6BB-5F66-4D92-9F70-D7A4EB2915B9}"/>
    <cellStyle name="Migliaia 10 2 3 2 3" xfId="475" xr:uid="{DD07023A-74D1-4C32-82EB-A82B29EE6A3E}"/>
    <cellStyle name="Migliaia 10 2 3 2 3 2" xfId="1323" xr:uid="{AD4F3A44-DA58-4907-B0B9-3B0D88C6033E}"/>
    <cellStyle name="Migliaia 10 2 3 2 4" xfId="1012" xr:uid="{37A51017-A53C-48A0-9CFE-D86B0AB0DCFE}"/>
    <cellStyle name="Migliaia 10 2 3 3" xfId="232" xr:uid="{1A9AD8C3-39A6-43ED-9D8E-55E1CD2CCB71}"/>
    <cellStyle name="Migliaia 10 2 3 3 2" xfId="1080" xr:uid="{E372D111-3E10-49A7-AE36-A74269B47C93}"/>
    <cellStyle name="Migliaia 10 2 3 4" xfId="404" xr:uid="{6BD6BFF1-57E8-404E-9DAB-D44317EEFD0A}"/>
    <cellStyle name="Migliaia 10 2 3 4 2" xfId="1252" xr:uid="{23190855-99CB-4B15-BB38-38DB55A27848}"/>
    <cellStyle name="Migliaia 10 2 3 5" xfId="942" xr:uid="{CC227295-6CD2-4824-9DA0-A259A1D150C7}"/>
    <cellStyle name="Migliaia 10 2 3 6" xfId="842" xr:uid="{7574D64D-C82D-44C2-A719-D92D88072C77}"/>
    <cellStyle name="Migliaia 10 2 4" xfId="130" xr:uid="{CD8E6709-2675-4E99-9196-EAE5FD64A4CB}"/>
    <cellStyle name="Migliaia 10 2 4 2" xfId="270" xr:uid="{CD05DC10-B94F-44E2-8BCF-B730A2791F79}"/>
    <cellStyle name="Migliaia 10 2 4 2 2" xfId="1118" xr:uid="{58B56979-6BEA-4A71-9561-635201D0F4A7}"/>
    <cellStyle name="Migliaia 10 2 4 3" xfId="442" xr:uid="{6F5379E5-F585-4904-8A24-DD7DD5511962}"/>
    <cellStyle name="Migliaia 10 2 4 3 2" xfId="1290" xr:uid="{49B3D0F8-2867-4B4C-905E-9B2721C98DF6}"/>
    <cellStyle name="Migliaia 10 2 4 4" xfId="980" xr:uid="{A47ACD20-C50A-4151-AD58-86893828B42B}"/>
    <cellStyle name="Migliaia 10 2 4 5" xfId="797" xr:uid="{DBDD1D89-4FBF-495E-A634-7F375BEAF216}"/>
    <cellStyle name="Migliaia 10 2 5" xfId="200" xr:uid="{8B0C941F-8394-4BAD-BE83-A9811AF028DC}"/>
    <cellStyle name="Migliaia 10 2 5 2" xfId="1048" xr:uid="{44A11765-4F46-4AAA-BEF8-568999BE5D22}"/>
    <cellStyle name="Migliaia 10 2 6" xfId="366" xr:uid="{8E7A7A86-914D-4326-BD6E-50DFF3947CC1}"/>
    <cellStyle name="Migliaia 10 2 6 2" xfId="1214" xr:uid="{C2192365-D553-4848-8D47-77F05993B59B}"/>
    <cellStyle name="Migliaia 10 2 7" xfId="1610" xr:uid="{C025B7E1-C4DD-4636-BA4D-EF8B2DB02B68}"/>
    <cellStyle name="Migliaia 10 2 8" xfId="887" xr:uid="{3C320D99-AB1F-4C30-8FBD-5BFADA37F14C}"/>
    <cellStyle name="Migliaia 10 3" xfId="54" xr:uid="{00000000-0005-0000-0000-000013000000}"/>
    <cellStyle name="Migliaia 10 4" xfId="91" xr:uid="{DE73F26D-2057-4966-ADD6-ECB0F3AAEFE9}"/>
    <cellStyle name="Migliaia 10 4 2" xfId="163" xr:uid="{507C8878-1791-48DD-9E9F-D1E3EB266C11}"/>
    <cellStyle name="Migliaia 10 4 2 2" xfId="300" xr:uid="{6825E833-F9CE-40CB-AD33-56D854F7CF25}"/>
    <cellStyle name="Migliaia 10 4 2 2 2" xfId="1148" xr:uid="{E4FC184D-CDCD-44D3-B974-F415D134B0BB}"/>
    <cellStyle name="Migliaia 10 4 2 3" xfId="474" xr:uid="{6DA22C41-9F1A-4B99-938F-D722F2724978}"/>
    <cellStyle name="Migliaia 10 4 2 3 2" xfId="1322" xr:uid="{675F5F2B-7C1D-436E-937E-D6069A02017D}"/>
    <cellStyle name="Migliaia 10 4 2 4" xfId="1011" xr:uid="{00E0BDDB-FE1A-4966-BA2A-41E681DFC896}"/>
    <cellStyle name="Migliaia 10 4 3" xfId="231" xr:uid="{BD158041-1605-4C23-9E2A-9861998052FA}"/>
    <cellStyle name="Migliaia 10 4 3 2" xfId="1079" xr:uid="{2DAF1211-E0B4-47A8-9076-207DFCD31BBD}"/>
    <cellStyle name="Migliaia 10 4 4" xfId="403" xr:uid="{C9F25ADE-C412-474B-A24C-60403B0F2FBC}"/>
    <cellStyle name="Migliaia 10 4 4 2" xfId="1251" xr:uid="{96536FC2-7988-413F-AF0F-CD9D7A010199}"/>
    <cellStyle name="Migliaia 10 4 5" xfId="941" xr:uid="{70A88E2A-0C65-4EB9-BDB4-8646AA48C1ED}"/>
    <cellStyle name="Migliaia 10 4 6" xfId="841" xr:uid="{F47BBA92-956B-402F-A07C-E98C02E725E9}"/>
    <cellStyle name="Migliaia 10 5" xfId="129" xr:uid="{D54CFC21-7CF0-4708-BF7F-C78682B3E5E6}"/>
    <cellStyle name="Migliaia 10 5 2" xfId="269" xr:uid="{D03E87C9-79F3-434B-9F8F-8BCBEEBC8F39}"/>
    <cellStyle name="Migliaia 10 5 2 2" xfId="1117" xr:uid="{7717B29F-84ED-4F58-BF3C-E9A434C0256C}"/>
    <cellStyle name="Migliaia 10 5 3" xfId="441" xr:uid="{DD1F67AC-C73F-4B7B-87D8-41BDA1783879}"/>
    <cellStyle name="Migliaia 10 5 3 2" xfId="1289" xr:uid="{647CF050-F8A8-450A-A31B-6D4D75D3D45E}"/>
    <cellStyle name="Migliaia 10 5 4" xfId="979" xr:uid="{4967A4BC-F23E-4F56-98A6-5AE6F06198DB}"/>
    <cellStyle name="Migliaia 10 5 5" xfId="796" xr:uid="{1C432416-FDB4-4612-B002-E1C0AC217F0C}"/>
    <cellStyle name="Migliaia 10 6" xfId="199" xr:uid="{6EDDA2C8-4D7B-4725-A8D2-F710DB3A1898}"/>
    <cellStyle name="Migliaia 10 6 2" xfId="1047" xr:uid="{1F2B79F8-E31D-4E13-A6A9-02AAAF151DD4}"/>
    <cellStyle name="Migliaia 10 7" xfId="365" xr:uid="{2C4CEFFE-990D-42F5-8A88-CA54A64274D4}"/>
    <cellStyle name="Migliaia 10 7 2" xfId="1213" xr:uid="{13F2E10F-D220-4F06-80D7-E52DD30B932F}"/>
    <cellStyle name="Migliaia 10 8" xfId="1609" xr:uid="{E2E50A48-8CA9-4F58-B405-8DFAE276EC1E}"/>
    <cellStyle name="Migliaia 10 9" xfId="886" xr:uid="{2A00E908-764D-439C-BDBD-58F40EEB5707}"/>
    <cellStyle name="Migliaia 11" xfId="6" xr:uid="{00000000-0005-0000-0000-000014000000}"/>
    <cellStyle name="Migliaia 11 2" xfId="56" xr:uid="{00000000-0005-0000-0000-000015000000}"/>
    <cellStyle name="Migliaia 11 3" xfId="93" xr:uid="{42437452-35F0-45B7-9EFF-2D1B12E5670D}"/>
    <cellStyle name="Migliaia 11 3 2" xfId="165" xr:uid="{A92816FB-151A-4DA6-B474-C61929E99D4E}"/>
    <cellStyle name="Migliaia 11 3 2 2" xfId="302" xr:uid="{39A6D3AA-9DF6-4E6A-BC75-226AC9D0A981}"/>
    <cellStyle name="Migliaia 11 3 2 2 2" xfId="1150" xr:uid="{59920DC1-16B4-4F25-9E18-04FAFBB58341}"/>
    <cellStyle name="Migliaia 11 3 2 3" xfId="476" xr:uid="{91DCB21A-65D4-4435-AFC2-91561CC6EB1A}"/>
    <cellStyle name="Migliaia 11 3 2 3 2" xfId="1324" xr:uid="{F79EFF85-D3E6-4652-9820-F5DFB861D13C}"/>
    <cellStyle name="Migliaia 11 3 2 4" xfId="1013" xr:uid="{7F505C90-FBED-4739-BC0F-C8F167515337}"/>
    <cellStyle name="Migliaia 11 3 3" xfId="233" xr:uid="{9112DB11-1F1B-4E3C-9604-F29816EAAAB3}"/>
    <cellStyle name="Migliaia 11 3 3 2" xfId="1081" xr:uid="{E082DD11-4044-493B-8FAA-E867057C7ACA}"/>
    <cellStyle name="Migliaia 11 3 4" xfId="405" xr:uid="{1B864F05-E7D1-45AD-8A26-8A705382AB08}"/>
    <cellStyle name="Migliaia 11 3 4 2" xfId="1253" xr:uid="{0A9A304C-FEA3-4D1D-A51B-BF45928E0EFA}"/>
    <cellStyle name="Migliaia 11 3 5" xfId="943" xr:uid="{194638D8-B106-4285-B861-B86979C6A0C7}"/>
    <cellStyle name="Migliaia 11 3 6" xfId="843" xr:uid="{7CDDC309-627A-4AF4-A94D-73F72E37FA01}"/>
    <cellStyle name="Migliaia 11 4" xfId="131" xr:uid="{73FB5A70-B662-41DD-A99D-FC0F9BE9F142}"/>
    <cellStyle name="Migliaia 11 4 2" xfId="271" xr:uid="{C4A31D6B-B8A8-417B-8081-137F80EA534F}"/>
    <cellStyle name="Migliaia 11 4 2 2" xfId="1119" xr:uid="{32CB81A4-19B9-4F5D-978A-25F4FD99EF7E}"/>
    <cellStyle name="Migliaia 11 4 3" xfId="443" xr:uid="{ADFDF454-8140-42CE-AE67-56555F228F93}"/>
    <cellStyle name="Migliaia 11 4 3 2" xfId="1291" xr:uid="{7358A1B5-50B0-4893-AB3B-2BA8D6E242A2}"/>
    <cellStyle name="Migliaia 11 4 4" xfId="981" xr:uid="{11357448-E985-45C0-921C-6322836726C5}"/>
    <cellStyle name="Migliaia 11 4 5" xfId="798" xr:uid="{83E4CF34-E0A1-4210-8421-3845BAE0E421}"/>
    <cellStyle name="Migliaia 11 5" xfId="201" xr:uid="{DA4F005B-FAB5-488B-972F-AEF192FC2E9E}"/>
    <cellStyle name="Migliaia 11 5 2" xfId="1049" xr:uid="{17FDEA48-39F3-4C60-9308-102FA1FCBC25}"/>
    <cellStyle name="Migliaia 11 6" xfId="367" xr:uid="{3FEB3338-380D-4A9E-BAEE-A266A1ED456D}"/>
    <cellStyle name="Migliaia 11 6 2" xfId="1215" xr:uid="{0D64246C-D96C-414C-AC06-A19F4D87A0CA}"/>
    <cellStyle name="Migliaia 11 7" xfId="1611" xr:uid="{CD440069-FC25-4EAB-922E-73E816DAD8F3}"/>
    <cellStyle name="Migliaia 11 8" xfId="888" xr:uid="{1DC968EA-8946-44F1-85DE-33330F32485A}"/>
    <cellStyle name="Migliaia 12" xfId="368" xr:uid="{5BC9C47B-DA9D-4167-9478-9918FB181EB3}"/>
    <cellStyle name="Migliaia 12 2" xfId="1216" xr:uid="{F7F8F390-A6FD-4779-BF2C-F29D90EC2519}"/>
    <cellStyle name="Migliaia 13" xfId="549" xr:uid="{75369764-7CEB-463C-8660-2204CFE2F5BD}"/>
    <cellStyle name="Migliaia 13 2" xfId="1397" xr:uid="{95166D5D-F408-40DB-97EB-46529BCDD7BB}"/>
    <cellStyle name="Migliaia 14" xfId="226" xr:uid="{11355752-A1DE-4C4E-AF3C-2E660A089E35}"/>
    <cellStyle name="Migliaia 14 2" xfId="1074" xr:uid="{90E7655F-CF48-475D-8D84-6A4A8A825508}"/>
    <cellStyle name="Migliaia 15" xfId="1614" xr:uid="{8A4BA58C-CDD2-4A19-A6E9-50680FD5B240}"/>
    <cellStyle name="Migliaia 16" xfId="902" xr:uid="{88E0AC07-99E2-4593-91A4-22B965FAFF4B}"/>
    <cellStyle name="Migliaia 17" xfId="889" xr:uid="{867E34A1-E0CE-4FE2-B577-4DC2F879F8FE}"/>
    <cellStyle name="Migliaia 18" xfId="897" xr:uid="{A850C8D0-8988-4D71-834C-BE8C4AB0D4AF}"/>
    <cellStyle name="Migliaia 19" xfId="1620" xr:uid="{EF623324-7B95-4BE6-BB40-2E279B0641C1}"/>
    <cellStyle name="Migliaia 2" xfId="12" xr:uid="{00000000-0005-0000-0000-000016000000}"/>
    <cellStyle name="Migliaia 2 2" xfId="33" xr:uid="{00000000-0005-0000-0000-000017000000}"/>
    <cellStyle name="Migliaia 2 2 2" xfId="47" xr:uid="{00000000-0005-0000-0000-000018000000}"/>
    <cellStyle name="Migliaia 2 2 2 2" xfId="83" xr:uid="{8D151538-7D45-433B-95DE-A2D82BC14D73}"/>
    <cellStyle name="Migliaia 2 2 2 2 2" xfId="935" xr:uid="{D22D9EA1-D8BC-414B-A123-F37069AC3A0F}"/>
    <cellStyle name="Migliaia 2 2 2 3" xfId="883" xr:uid="{AE4A2A1D-B24C-4ADC-9562-3E446085BE7C}"/>
    <cellStyle name="Migliaia 2 2 3" xfId="880" xr:uid="{23A898C4-401F-4490-B6DE-36318A4DB52C}"/>
    <cellStyle name="Migliaia 2 3" xfId="39" xr:uid="{00000000-0005-0000-0000-000019000000}"/>
    <cellStyle name="Migliaia 2 3 2" xfId="62" xr:uid="{00000000-0005-0000-0000-00001A000000}"/>
    <cellStyle name="Migliaia 2 3 2 2" xfId="87" xr:uid="{DD7A0427-A593-42FA-BA9E-528FE1FC554C}"/>
    <cellStyle name="Migliaia 2 3 2 2 2" xfId="123" xr:uid="{71C7C2F2-525E-44BC-A742-6439281B60D4}"/>
    <cellStyle name="Migliaia 2 3 2 2 2 2" xfId="195" xr:uid="{1D1F16E6-023C-4C86-BF21-D9B8C5E1F05B}"/>
    <cellStyle name="Migliaia 2 3 2 2 2 2 2" xfId="332" xr:uid="{484E59C6-E8A3-4F0A-850B-878D09AB9208}"/>
    <cellStyle name="Migliaia 2 3 2 2 2 2 2 2" xfId="1180" xr:uid="{0B0B9F16-A0C5-4EA1-A7E8-3107170A29C6}"/>
    <cellStyle name="Migliaia 2 3 2 2 2 2 3" xfId="506" xr:uid="{87B5E375-ECB4-42D5-A09F-0A479A4410DD}"/>
    <cellStyle name="Migliaia 2 3 2 2 2 2 3 2" xfId="1354" xr:uid="{EDC0F881-7177-4893-A5DA-D83AC3D01E20}"/>
    <cellStyle name="Migliaia 2 3 2 2 2 2 4" xfId="1043" xr:uid="{6F177576-8D16-496F-B7F8-9BF978399CFA}"/>
    <cellStyle name="Migliaia 2 3 2 2 2 3" xfId="263" xr:uid="{8103F2DD-1EDF-466B-8A4F-B7C88807BCF4}"/>
    <cellStyle name="Migliaia 2 3 2 2 2 3 2" xfId="1111" xr:uid="{6E6D54A2-3E87-4CF4-9675-CAE20D726487}"/>
    <cellStyle name="Migliaia 2 3 2 2 2 4" xfId="435" xr:uid="{5EFC0CCB-7D8F-4A21-AD82-D128F92FAD4D}"/>
    <cellStyle name="Migliaia 2 3 2 2 2 4 2" xfId="1283" xr:uid="{921234B6-8E0D-466A-9566-20C67783D981}"/>
    <cellStyle name="Migliaia 2 3 2 2 2 5" xfId="973" xr:uid="{4617F661-72E2-4623-A1EF-74677FB4A177}"/>
    <cellStyle name="Migliaia 2 3 2 2 2 6" xfId="873" xr:uid="{802F57D3-8A8A-464F-BAD2-E680333B17B3}"/>
    <cellStyle name="Migliaia 2 3 2 2 3" xfId="162" xr:uid="{6C1B2229-6398-4D55-85EA-14A1B9DB4ECE}"/>
    <cellStyle name="Migliaia 2 3 2 2 3 2" xfId="299" xr:uid="{849DBF99-8AB1-4D36-8B16-26C558112040}"/>
    <cellStyle name="Migliaia 2 3 2 2 3 2 2" xfId="1147" xr:uid="{A1C95F15-0D66-44CA-A39E-DB01D8F27307}"/>
    <cellStyle name="Migliaia 2 3 2 2 3 3" xfId="473" xr:uid="{8593032E-3838-4A10-BD86-EE61393E29AE}"/>
    <cellStyle name="Migliaia 2 3 2 2 3 3 2" xfId="1321" xr:uid="{E45E1EC7-85C2-484E-B26C-0AB092A9E6BF}"/>
    <cellStyle name="Migliaia 2 3 2 2 3 4" xfId="1010" xr:uid="{C27E1324-84CD-4935-B1AC-B0C4C7B6BEDE}"/>
    <cellStyle name="Migliaia 2 3 2 2 4" xfId="230" xr:uid="{10D54C42-532E-4A4F-A5BD-5865892B7C2D}"/>
    <cellStyle name="Migliaia 2 3 2 2 4 2" xfId="1078" xr:uid="{3DA65DAC-4C63-4901-910B-30AAC0BDA414}"/>
    <cellStyle name="Migliaia 2 3 2 2 5" xfId="402" xr:uid="{74BC81B8-9B06-4B69-94FE-AB2504A8BE73}"/>
    <cellStyle name="Migliaia 2 3 2 2 5 2" xfId="1250" xr:uid="{7D83CCEC-87A9-48B2-A5C1-6B71B0D3762B}"/>
    <cellStyle name="Migliaia 2 3 2 2 6" xfId="939" xr:uid="{45DD4596-D2E5-44F9-9B5A-59FE46BBB8F9}"/>
    <cellStyle name="Migliaia 2 3 2 2 7" xfId="840" xr:uid="{059DB066-C8D2-4884-90E1-3C92EDDD6F1B}"/>
    <cellStyle name="Migliaia 2 3 3" xfId="103" xr:uid="{4F88527C-E015-46F7-B839-8992BF0905A0}"/>
    <cellStyle name="Migliaia 2 3 3 2" xfId="175" xr:uid="{D8B7EF4F-9472-49E2-835B-C09BB6F39CF6}"/>
    <cellStyle name="Migliaia 2 3 3 2 2" xfId="312" xr:uid="{9D821085-0BA1-4B7E-88C1-2D8FE49BBB2A}"/>
    <cellStyle name="Migliaia 2 3 3 2 2 2" xfId="1160" xr:uid="{F8B15FF5-2E5B-406A-94EA-520ED6BFA3F3}"/>
    <cellStyle name="Migliaia 2 3 3 2 3" xfId="486" xr:uid="{4F900516-05FF-45CE-AA53-F914FA505F62}"/>
    <cellStyle name="Migliaia 2 3 3 2 3 2" xfId="1334" xr:uid="{1C9DE1FC-3795-4B92-B3C1-3BE0AA571AC4}"/>
    <cellStyle name="Migliaia 2 3 3 2 4" xfId="1023" xr:uid="{AC2603E7-3BC1-4959-99CB-9F6C103EAA7A}"/>
    <cellStyle name="Migliaia 2 3 3 3" xfId="243" xr:uid="{E9221FB5-ABC8-485A-B1C4-2354F7309441}"/>
    <cellStyle name="Migliaia 2 3 3 3 2" xfId="1091" xr:uid="{80E31947-932F-4FB2-A89C-289405160AF9}"/>
    <cellStyle name="Migliaia 2 3 3 4" xfId="415" xr:uid="{6038A9DF-0161-4465-8DA2-021128014035}"/>
    <cellStyle name="Migliaia 2 3 3 4 2" xfId="1263" xr:uid="{2202D4A5-7C0A-46E6-AF61-EBBE965283E0}"/>
    <cellStyle name="Migliaia 2 3 3 5" xfId="953" xr:uid="{30B5E464-A907-47B8-A3AE-0B7260C6085B}"/>
    <cellStyle name="Migliaia 2 3 3 6" xfId="853" xr:uid="{355B31BD-043B-47CC-A861-755CF45D526A}"/>
    <cellStyle name="Migliaia 2 3 4" xfId="140" xr:uid="{DB875A9F-EF35-47BC-B821-616674249E97}"/>
    <cellStyle name="Migliaia 2 3 4 2" xfId="279" xr:uid="{84CE5681-0844-4C5E-B2B9-35344D2C14B2}"/>
    <cellStyle name="Migliaia 2 3 4 2 2" xfId="1127" xr:uid="{446F8D10-0A08-413F-8F41-4B7FBD65398D}"/>
    <cellStyle name="Migliaia 2 3 4 3" xfId="451" xr:uid="{C5BE07FF-0107-402E-984F-C3C190537A3B}"/>
    <cellStyle name="Migliaia 2 3 4 3 2" xfId="1299" xr:uid="{52C170B5-D68B-4A27-A0EC-F6856383A3AC}"/>
    <cellStyle name="Migliaia 2 3 4 4" xfId="990" xr:uid="{CC21FCD7-5459-4261-B7F4-A76E2C4A37C6}"/>
    <cellStyle name="Migliaia 2 3 4 5" xfId="806" xr:uid="{E17509B1-D612-4B2F-B929-FAED4E538C8D}"/>
    <cellStyle name="Migliaia 2 3 5" xfId="209" xr:uid="{59E9E603-A8E2-40B9-8E87-B569C03E4111}"/>
    <cellStyle name="Migliaia 2 3 5 2" xfId="1057" xr:uid="{C839335E-63D3-444E-BE5A-3D3471826DA8}"/>
    <cellStyle name="Migliaia 2 3 6" xfId="378" xr:uid="{2415DBAF-E16A-4201-B030-DE58A509225B}"/>
    <cellStyle name="Migliaia 2 3 6 2" xfId="1226" xr:uid="{FC850E53-54BB-43F1-BD34-76595B06B2A7}"/>
    <cellStyle name="Migliaia 2 3 7" xfId="1615" xr:uid="{1792B46F-06AA-41B1-AD42-7F0B5EAE2708}"/>
    <cellStyle name="Migliaia 2 3 8" xfId="907" xr:uid="{AE8EAF53-D4AA-4A72-80E0-7FA0FAB23C22}"/>
    <cellStyle name="Migliaia 2 4" xfId="78" xr:uid="{5CC9C9F0-6302-483A-A4E1-6FAEFAF5CE8B}"/>
    <cellStyle name="Migliaia 2 4 2" xfId="119" xr:uid="{29F4F397-7789-4C5B-852A-761840EFC351}"/>
    <cellStyle name="Migliaia 2 4 2 2" xfId="191" xr:uid="{1EE630AE-2B68-4376-83B5-4E3EB33C5FD5}"/>
    <cellStyle name="Migliaia 2 4 2 2 2" xfId="328" xr:uid="{2CB1C8A5-252D-4A77-94DF-47C6B73E5526}"/>
    <cellStyle name="Migliaia 2 4 2 2 2 2" xfId="1176" xr:uid="{07A3A0F2-BE98-410F-B307-76374DEE7F1E}"/>
    <cellStyle name="Migliaia 2 4 2 2 3" xfId="502" xr:uid="{37C596B5-25E8-4CDE-B5FC-A954431E4CB1}"/>
    <cellStyle name="Migliaia 2 4 2 2 3 2" xfId="1350" xr:uid="{631AE7D8-53D3-4883-9784-2CC7535A8EF6}"/>
    <cellStyle name="Migliaia 2 4 2 2 4" xfId="1039" xr:uid="{C1BEEA68-A29A-490E-B3F7-78F0886DAFAD}"/>
    <cellStyle name="Migliaia 2 4 2 3" xfId="259" xr:uid="{9C0D7556-EF9F-4C31-A773-A2B77E95DA57}"/>
    <cellStyle name="Migliaia 2 4 2 3 2" xfId="1107" xr:uid="{A219752E-79E5-4964-BBDA-3B3BBE9A8FA1}"/>
    <cellStyle name="Migliaia 2 4 2 4" xfId="431" xr:uid="{BCE9B79D-415A-4F49-9EFD-D78CF678E9FF}"/>
    <cellStyle name="Migliaia 2 4 2 4 2" xfId="1279" xr:uid="{FF16C4C3-E2AC-4CB6-9B02-10FADDBA0550}"/>
    <cellStyle name="Migliaia 2 4 2 5" xfId="969" xr:uid="{DCEAFEA9-5DE5-4F7D-AEF0-23D5C3744DE4}"/>
    <cellStyle name="Migliaia 2 4 2 6" xfId="869" xr:uid="{2B5491D3-6E5C-4D72-BF7B-D5CF61321C2C}"/>
    <cellStyle name="Migliaia 2 4 3" xfId="158" xr:uid="{74B40BFE-0AA3-48EB-8949-55263E546872}"/>
    <cellStyle name="Migliaia 2 4 3 2" xfId="295" xr:uid="{B256C878-B71B-46AD-86FD-795088498EAA}"/>
    <cellStyle name="Migliaia 2 4 3 2 2" xfId="1143" xr:uid="{20D5FE12-5A12-4D2C-911A-2A8C6DC25A40}"/>
    <cellStyle name="Migliaia 2 4 3 3" xfId="469" xr:uid="{7EE6AC67-9D96-4858-9C03-8B13EE85D5FA}"/>
    <cellStyle name="Migliaia 2 4 3 3 2" xfId="1317" xr:uid="{44E49C91-3E1A-44A3-91C5-68D6E872CA4F}"/>
    <cellStyle name="Migliaia 2 4 3 4" xfId="1006" xr:uid="{B7C52846-AA3D-4944-B79A-5BE9963189E4}"/>
    <cellStyle name="Migliaia 2 4 3 5" xfId="836" xr:uid="{1D068C2B-5D5B-4D6E-B949-269F5120CB4C}"/>
    <cellStyle name="Migliaia 2 4 4" xfId="225" xr:uid="{343A52DA-C470-4989-AB17-34EA8484E642}"/>
    <cellStyle name="Migliaia 2 4 4 2" xfId="1073" xr:uid="{A381128D-844B-4EED-894D-28DFD2DC8023}"/>
    <cellStyle name="Migliaia 2 4 5" xfId="398" xr:uid="{F8EDF129-3773-4273-9E29-B6F4FFBB658B}"/>
    <cellStyle name="Migliaia 2 4 5 2" xfId="1246" xr:uid="{E7830B2A-25C7-4507-8284-C4D2A0333A1B}"/>
    <cellStyle name="Migliaia 2 4 6" xfId="931" xr:uid="{082B7CE8-4B7F-447B-8CEB-0367BC4F33CB}"/>
    <cellStyle name="Migliaia 2 dec." xfId="21" xr:uid="{00000000-0005-0000-0000-00001B000000}"/>
    <cellStyle name="Migliaia 2 dec. 2" xfId="45" xr:uid="{00000000-0005-0000-0000-00001C000000}"/>
    <cellStyle name="Migliaia 2 dec. 2 2" xfId="142" xr:uid="{BB052617-E295-4E08-8275-63AA2F493E9F}"/>
    <cellStyle name="Migliaia 2 dec. 2 2 2" xfId="3364" xr:uid="{D4401EE8-C322-4B4C-B1EC-5B473566D98D}"/>
    <cellStyle name="Migliaia 2 dec. 2 2 3" xfId="3473" xr:uid="{F52AE2D2-4305-4B76-9BE3-94881FAA985A}"/>
    <cellStyle name="Migliaia 2 dec. 2 3" xfId="771" xr:uid="{264BC6DD-8B02-40FF-AAE2-AC6F5AC892FA}"/>
    <cellStyle name="Migliaia 2 dec. 2 4" xfId="3232" xr:uid="{B1FAE890-8E77-4110-98E9-FF678D93ED8B}"/>
    <cellStyle name="Migliaia 2 dec. 3" xfId="135" xr:uid="{01421F2D-1BE6-4C5A-A98B-C1B7C90B0EB7}"/>
    <cellStyle name="Migliaia 2 dec. 3 2" xfId="780" xr:uid="{7B37458C-1B49-4EFE-95B6-55C54D04E5BD}"/>
    <cellStyle name="Migliaia 2 dec. 3 3" xfId="786" xr:uid="{3F8E00C2-D6AD-45E8-B2B9-C9D923932CD4}"/>
    <cellStyle name="Migliaia 20" xfId="1698" xr:uid="{E5492C62-8CA9-4098-B6FD-35950CB7622B}"/>
    <cellStyle name="Migliaia 3" xfId="60" xr:uid="{00000000-0005-0000-0000-00001D000000}"/>
    <cellStyle name="Migliaia 3 2" xfId="86" xr:uid="{FA5AA923-1D95-4B31-B94A-0CF810B3634A}"/>
    <cellStyle name="Migliaia 3 2 2" xfId="122" xr:uid="{FDDEEF5F-B02F-4857-9AD9-EF3D4F4130FC}"/>
    <cellStyle name="Migliaia 3 2 2 2" xfId="194" xr:uid="{33E3BAED-1923-4BC4-ABFC-E9A2619DC1A6}"/>
    <cellStyle name="Migliaia 3 2 2 2 2" xfId="331" xr:uid="{445D0420-36AC-4BE7-93AA-1408EA73C98D}"/>
    <cellStyle name="Migliaia 3 2 2 2 2 2" xfId="1179" xr:uid="{8E1B4A48-1703-4C9F-A0A1-0F6F161AEE17}"/>
    <cellStyle name="Migliaia 3 2 2 2 3" xfId="505" xr:uid="{829113DC-7176-4774-B6CB-21B47097D042}"/>
    <cellStyle name="Migliaia 3 2 2 2 3 2" xfId="1353" xr:uid="{EED5C129-E24A-473F-9907-A6EBDF2AF11B}"/>
    <cellStyle name="Migliaia 3 2 2 2 4" xfId="1042" xr:uid="{87E5AC8D-AF60-4510-9199-3A6C7D456286}"/>
    <cellStyle name="Migliaia 3 2 2 3" xfId="262" xr:uid="{DA778C29-0D50-432B-A136-FC4FA8210025}"/>
    <cellStyle name="Migliaia 3 2 2 3 2" xfId="1110" xr:uid="{FC3C3E9B-4B7D-429B-BE3E-A2C759403F32}"/>
    <cellStyle name="Migliaia 3 2 2 4" xfId="434" xr:uid="{3E22158E-B0E2-4859-9D25-FC586B3DC3B1}"/>
    <cellStyle name="Migliaia 3 2 2 4 2" xfId="1282" xr:uid="{FACA64E8-EB68-424B-869A-F3E96750CA78}"/>
    <cellStyle name="Migliaia 3 2 2 5" xfId="972" xr:uid="{1A66323E-0350-4588-BFD5-FAE63A9CC26C}"/>
    <cellStyle name="Migliaia 3 2 2 6" xfId="872" xr:uid="{938196CB-48EF-4A8B-BB64-363E7CAE6EEB}"/>
    <cellStyle name="Migliaia 3 2 3" xfId="161" xr:uid="{F28EC974-F8BC-4FC5-AA49-65E860C836CB}"/>
    <cellStyle name="Migliaia 3 2 3 2" xfId="298" xr:uid="{D0894E21-A5D1-45D0-A107-D07AA916AAE0}"/>
    <cellStyle name="Migliaia 3 2 3 2 2" xfId="1146" xr:uid="{8A6A60F8-17E5-4C7B-AD61-3E74B229D612}"/>
    <cellStyle name="Migliaia 3 2 3 3" xfId="472" xr:uid="{0CC177E2-61CD-489E-97EC-7424C4E74ED1}"/>
    <cellStyle name="Migliaia 3 2 3 3 2" xfId="1320" xr:uid="{FC4D85B8-B929-4E0D-B400-7162F9E15D92}"/>
    <cellStyle name="Migliaia 3 2 3 4" xfId="1009" xr:uid="{B5DE2BBB-95D4-4BF8-9C80-AFB805373865}"/>
    <cellStyle name="Migliaia 3 2 4" xfId="229" xr:uid="{F783C13D-EFC4-4751-8BE8-A543523EF5B8}"/>
    <cellStyle name="Migliaia 3 2 4 2" xfId="1077" xr:uid="{6623C35F-20BA-4CF0-B359-63ECD3BB1F7E}"/>
    <cellStyle name="Migliaia 3 2 5" xfId="401" xr:uid="{701C99D1-7A7D-4AEB-9946-5BF0B3E12994}"/>
    <cellStyle name="Migliaia 3 2 5 2" xfId="1249" xr:uid="{5D4CB2F4-1453-4DD9-A48F-E956BEE6454B}"/>
    <cellStyle name="Migliaia 3 2 6" xfId="938" xr:uid="{2CF4A626-FB80-40F7-B1BB-625AEEE69028}"/>
    <cellStyle name="Migliaia 3 2 7" xfId="839" xr:uid="{1FDD63E9-AC7F-4AE4-BB9D-8AFD75FE8BF5}"/>
    <cellStyle name="Migliaia 4" xfId="85" xr:uid="{4578D5AA-7CCC-40EB-882B-F5D0E97E814F}"/>
    <cellStyle name="Migliaia 4 2" xfId="121" xr:uid="{796E25A9-EB11-49A1-9214-B09E5F26465F}"/>
    <cellStyle name="Migliaia 4 2 2" xfId="193" xr:uid="{7771ED0B-B355-42FA-993B-24E08E760ECE}"/>
    <cellStyle name="Migliaia 4 2 2 2" xfId="330" xr:uid="{C4FF7CA6-A992-41FB-86B0-2269D27D34F2}"/>
    <cellStyle name="Migliaia 4 2 2 2 2" xfId="1178" xr:uid="{A55B9650-9317-4EC9-A449-91C14C5D3F95}"/>
    <cellStyle name="Migliaia 4 2 2 3" xfId="504" xr:uid="{6757E96D-9A67-410F-9287-F183AF3B1460}"/>
    <cellStyle name="Migliaia 4 2 2 3 2" xfId="1352" xr:uid="{936CABD0-A382-485E-8687-6F05ABC9FC58}"/>
    <cellStyle name="Migliaia 4 2 2 4" xfId="1041" xr:uid="{72E7D819-5B55-4AA4-96D3-CDF526DE0F01}"/>
    <cellStyle name="Migliaia 4 2 3" xfId="261" xr:uid="{56151472-B23B-41E8-8464-9E5C30B2CABD}"/>
    <cellStyle name="Migliaia 4 2 3 2" xfId="1109" xr:uid="{8D16CE3F-7D0A-4684-95A1-1CCD2E1A9E32}"/>
    <cellStyle name="Migliaia 4 2 4" xfId="433" xr:uid="{A40D50E7-7D16-4277-9415-86436CC18681}"/>
    <cellStyle name="Migliaia 4 2 4 2" xfId="1281" xr:uid="{6BC859A4-DCDF-4D6D-B3A6-A64C42CA7C8E}"/>
    <cellStyle name="Migliaia 4 2 5" xfId="971" xr:uid="{9FD36158-121D-4730-B485-11D5B4D573A9}"/>
    <cellStyle name="Migliaia 4 2 6" xfId="871" xr:uid="{5511743C-5943-444E-B26C-CE9D87E616CE}"/>
    <cellStyle name="Migliaia 4 3" xfId="160" xr:uid="{3CF67F51-8D6E-44A2-B288-9F0767CFE1E0}"/>
    <cellStyle name="Migliaia 4 3 2" xfId="297" xr:uid="{344D968C-936F-4D52-999E-AA0A6770D44D}"/>
    <cellStyle name="Migliaia 4 3 2 2" xfId="1145" xr:uid="{9EDE614E-1FB5-464C-A98F-C2B8BEE1FBE7}"/>
    <cellStyle name="Migliaia 4 3 3" xfId="471" xr:uid="{E0AE9954-F1B6-4157-8321-15056519EBBB}"/>
    <cellStyle name="Migliaia 4 3 3 2" xfId="1319" xr:uid="{5A9D31D1-7BD4-4C56-B0AC-52C65AC391B9}"/>
    <cellStyle name="Migliaia 4 3 4" xfId="1008" xr:uid="{C31125B6-F260-48EF-81BB-A6A0F6A9ECC9}"/>
    <cellStyle name="Migliaia 4 4" xfId="228" xr:uid="{CC09324A-AFEC-44B3-8476-266BA3C3AAA7}"/>
    <cellStyle name="Migliaia 4 4 2" xfId="1076" xr:uid="{5F7B117B-969E-47CB-94A4-36B9CF9D96EE}"/>
    <cellStyle name="Migliaia 4 5" xfId="400" xr:uid="{27F3B4FC-BF5B-46E8-A754-C37357051294}"/>
    <cellStyle name="Migliaia 4 5 2" xfId="1248" xr:uid="{7E4175B2-875A-4105-82C7-5434B4DB52C8}"/>
    <cellStyle name="Migliaia 4 6" xfId="937" xr:uid="{0AC8D307-861B-4881-92AE-6A5D379621FA}"/>
    <cellStyle name="Migliaia 4 7" xfId="838" xr:uid="{56A012E8-B19B-44C5-8125-35800C389E06}"/>
    <cellStyle name="Migliaia 5" xfId="100" xr:uid="{0DA2B9DC-A48E-4218-977D-DBDA7B5BD0C3}"/>
    <cellStyle name="Migliaia 5 2" xfId="172" xr:uid="{A2BFEE58-8AFC-42C9-AF5C-7CE029FA01F3}"/>
    <cellStyle name="Migliaia 5 2 2" xfId="309" xr:uid="{A537EBAA-E571-4F5E-82DB-6A8EE1A3792D}"/>
    <cellStyle name="Migliaia 5 2 2 2" xfId="1157" xr:uid="{EA2CC29E-478C-4A04-9FF1-EAB42B16839F}"/>
    <cellStyle name="Migliaia 5 2 3" xfId="483" xr:uid="{38269A39-9184-433F-9FE6-4155BB53EC0F}"/>
    <cellStyle name="Migliaia 5 2 3 2" xfId="1331" xr:uid="{8B5B5BD6-72EF-4BBF-846B-4B5BF169D4AA}"/>
    <cellStyle name="Migliaia 5 2 4" xfId="1020" xr:uid="{96EF218C-EC87-4F94-88EA-2C04DFCC1CE4}"/>
    <cellStyle name="Migliaia 5 3" xfId="240" xr:uid="{88190BA5-D9A4-405C-A3AE-F1CD27CC6718}"/>
    <cellStyle name="Migliaia 5 3 2" xfId="1088" xr:uid="{1B1773E7-B93D-415A-BC60-9296F25480F6}"/>
    <cellStyle name="Migliaia 5 4" xfId="412" xr:uid="{E9ED783C-DDA8-4CD7-8A16-48077B047A1E}"/>
    <cellStyle name="Migliaia 5 4 2" xfId="1260" xr:uid="{8ED7CFE1-B7A2-4582-A024-0B50FCC74755}"/>
    <cellStyle name="Migliaia 5 5" xfId="950" xr:uid="{F7A0362B-44C1-4FF0-8F81-EF39A8ABDD4D}"/>
    <cellStyle name="Migliaia 5 6" xfId="850" xr:uid="{12A4FD87-2D11-47D1-9056-7BA2283FAF11}"/>
    <cellStyle name="Migliaia 6" xfId="98" xr:uid="{D38D5508-3386-45CA-B1F1-95A9573ABB47}"/>
    <cellStyle name="Migliaia 6 2" xfId="170" xr:uid="{E1A8B74A-E079-4BD7-8CFE-07540806D3CF}"/>
    <cellStyle name="Migliaia 6 2 2" xfId="307" xr:uid="{B492BD23-CAA4-477A-8D76-011086F431C2}"/>
    <cellStyle name="Migliaia 6 2 2 2" xfId="1155" xr:uid="{453B0DB8-70DF-4ED3-97B4-B3947AF63DC4}"/>
    <cellStyle name="Migliaia 6 2 3" xfId="481" xr:uid="{0866E28A-CC27-4092-9082-19A936954237}"/>
    <cellStyle name="Migliaia 6 2 3 2" xfId="1329" xr:uid="{B8BAA252-78D4-4287-8448-D4000B700B38}"/>
    <cellStyle name="Migliaia 6 2 4" xfId="1018" xr:uid="{4117E8EA-9FE0-478F-B2B2-6ED7BC3406FA}"/>
    <cellStyle name="Migliaia 6 3" xfId="238" xr:uid="{6FC207CF-C85A-49F0-813C-AA8B7780CD30}"/>
    <cellStyle name="Migliaia 6 3 2" xfId="1086" xr:uid="{7F64C2C8-7DEF-4580-81D0-BCA8F82F4241}"/>
    <cellStyle name="Migliaia 6 4" xfId="410" xr:uid="{444CB6FD-0E11-4DF6-9A06-A82FCD1609D7}"/>
    <cellStyle name="Migliaia 6 4 2" xfId="1258" xr:uid="{77E887D8-53C8-4713-BAC3-61B318B38F79}"/>
    <cellStyle name="Migliaia 6 5" xfId="948" xr:uid="{392ADC9A-7705-4B99-B5C7-2A2B3B2018FB}"/>
    <cellStyle name="Migliaia 6 6" xfId="848" xr:uid="{E6A42F4C-50A6-483A-8746-CA06C5F1F55C}"/>
    <cellStyle name="Migliaia 7" xfId="137" xr:uid="{98D66C83-E083-49B2-8F52-A2D69FE24CB4}"/>
    <cellStyle name="Migliaia 7 2" xfId="276" xr:uid="{FA2C31E4-D214-4738-B97C-E79A311D2D34}"/>
    <cellStyle name="Migliaia 7 2 2" xfId="1124" xr:uid="{3CFD1D3A-B107-479A-ABBE-7095AD8F0F6A}"/>
    <cellStyle name="Migliaia 7 3" xfId="448" xr:uid="{2D4C8381-6B81-453E-BA89-4D1AEE5B9541}"/>
    <cellStyle name="Migliaia 7 3 2" xfId="1296" xr:uid="{CDB6AE4E-7090-4C3D-B39A-B4DA898C3C5C}"/>
    <cellStyle name="Migliaia 7 4" xfId="987" xr:uid="{9A936046-35DB-49A7-87D1-5BA2417300C8}"/>
    <cellStyle name="Migliaia 7 5" xfId="803" xr:uid="{BA05CD2B-98F5-423E-BC9E-4C4B92685F67}"/>
    <cellStyle name="Migliaia 8" xfId="206" xr:uid="{D0E15952-4D58-4137-A445-8ABF5E5373D9}"/>
    <cellStyle name="Migliaia 8 2" xfId="1054" xr:uid="{BE9E60B4-C882-47F3-ACCA-889B09655186}"/>
    <cellStyle name="Migliaia 8 3" xfId="879" xr:uid="{6135B91F-1EC5-4327-A71E-E62A28AB7559}"/>
    <cellStyle name="Migliaia 9" xfId="374" xr:uid="{3B42756C-F110-42C6-9192-AAA9003617CD}"/>
    <cellStyle name="Migliaia 9 2" xfId="1222" xr:uid="{C893C151-F342-448B-8094-9EE1DC432615}"/>
    <cellStyle name="Neutrale 2" xfId="51" xr:uid="{00000000-0005-0000-0000-00001E000000}"/>
    <cellStyle name="New Times Roman" xfId="22" xr:uid="{00000000-0005-0000-0000-00001F000000}"/>
    <cellStyle name="Normal 2" xfId="89" xr:uid="{BB9D50ED-C532-43AA-95D5-6E008360E40B}"/>
    <cellStyle name="Normale" xfId="0" builtinId="0" customBuiltin="1"/>
    <cellStyle name="Normale 17 2" xfId="7" xr:uid="{00000000-0005-0000-0000-000021000000}"/>
    <cellStyle name="Normale 17 2 3" xfId="8" xr:uid="{00000000-0005-0000-0000-000022000000}"/>
    <cellStyle name="Normale 17 2_foglio ulteriori specif x rocco_v2(1)" xfId="9" xr:uid="{00000000-0005-0000-0000-000023000000}"/>
    <cellStyle name="Normale 2" xfId="23" xr:uid="{00000000-0005-0000-0000-000024000000}"/>
    <cellStyle name="Normale 21 2" xfId="10" xr:uid="{00000000-0005-0000-0000-000025000000}"/>
    <cellStyle name="Normale 3" xfId="24" xr:uid="{00000000-0005-0000-0000-000026000000}"/>
    <cellStyle name="Normale 3 2" xfId="76" xr:uid="{A4D68A74-697F-4324-8715-4B2872974DE0}"/>
    <cellStyle name="Normale 3 2 2 2" xfId="80" xr:uid="{6187BD21-FB23-4A60-ACC6-894E3C75F1AE}"/>
    <cellStyle name="Normale 3 3 2 2" xfId="88" xr:uid="{FA54FCBB-74EF-401B-ABFB-E98B4641EF9D}"/>
    <cellStyle name="Normale 4" xfId="29" xr:uid="{00000000-0005-0000-0000-000027000000}"/>
    <cellStyle name="Normale 5" xfId="32" xr:uid="{00000000-0005-0000-0000-000028000000}"/>
    <cellStyle name="Normale 5 2" xfId="38" xr:uid="{00000000-0005-0000-0000-000029000000}"/>
    <cellStyle name="Normale 6" xfId="69" xr:uid="{00000000-0005-0000-0000-00002A000000}"/>
    <cellStyle name="Normale 6 2" xfId="77" xr:uid="{FFF966E0-6A29-4973-ABF7-201E5FF3BD8F}"/>
    <cellStyle name="Normale 6 3" xfId="153" xr:uid="{099CEE7D-4AAE-455E-B331-79D40551DF95}"/>
    <cellStyle name="Nota 2" xfId="25" xr:uid="{00000000-0005-0000-0000-00002B000000}"/>
    <cellStyle name="Nota 2 10" xfId="127" xr:uid="{17771002-E888-434D-8115-59BFA9F1BB77}"/>
    <cellStyle name="Nota 2 10 10" xfId="1702" xr:uid="{7FF8F73F-38BC-4290-9552-B7CF551C53C0}"/>
    <cellStyle name="Nota 2 10 10 2" xfId="4016" xr:uid="{F66DE7E1-843F-4273-92E4-1E110D0F8133}"/>
    <cellStyle name="Nota 2 10 10 3" xfId="6070" xr:uid="{04E062CB-A1C2-4CE0-A308-F9E8B89B468A}"/>
    <cellStyle name="Nota 2 10 10 4" xfId="7773" xr:uid="{2333C2B1-E92D-406C-ACAA-43094A8D473A}"/>
    <cellStyle name="Nota 2 10 11" xfId="878" xr:uid="{F5D98626-0BD0-4C39-A372-005FE97698F0}"/>
    <cellStyle name="Nota 2 10 12" xfId="3263" xr:uid="{B4F418F3-EC57-463C-8DDB-A06585B829A5}"/>
    <cellStyle name="Nota 2 10 13" xfId="3478" xr:uid="{B2D299FF-BDF1-4755-BADE-F064C723B8B7}"/>
    <cellStyle name="Nota 2 10 14" xfId="6728" xr:uid="{EE1713DE-2D24-4518-AE9A-DC0AE9388C7C}"/>
    <cellStyle name="Nota 2 10 2" xfId="267" xr:uid="{9317858A-FE19-4ABF-87AB-1EE6A88283E1}"/>
    <cellStyle name="Nota 2 10 2 10" xfId="3467" xr:uid="{BB4005E1-1DD4-4034-BC01-0DE95B4D1F87}"/>
    <cellStyle name="Nota 2 10 2 11" xfId="5590" xr:uid="{88423EBD-3288-4A25-8ED4-97F4A6AAC78D}"/>
    <cellStyle name="Nota 2 10 2 12" xfId="5711" xr:uid="{52E0421F-354A-4181-AD66-A3F08AF11BD5}"/>
    <cellStyle name="Nota 2 10 2 2" xfId="641" xr:uid="{55C0F62D-DC67-476C-AD7B-C97A1ABA6584}"/>
    <cellStyle name="Nota 2 10 2 2 2" xfId="2099" xr:uid="{37CE3571-5696-44F3-8A55-1469D8F03E2C}"/>
    <cellStyle name="Nota 2 10 2 2 2 2" xfId="4413" xr:uid="{C98FF091-E735-4227-830C-23C1D6514A1D}"/>
    <cellStyle name="Nota 2 10 2 2 2 3" xfId="6448" xr:uid="{0C9B3505-F3EF-44D5-BAF0-06C1278636B1}"/>
    <cellStyle name="Nota 2 10 2 2 2 4" xfId="8010" xr:uid="{7E4E2665-3B1D-466C-91E1-BD4B4D52757C}"/>
    <cellStyle name="Nota 2 10 2 2 3" xfId="2551" xr:uid="{D325E617-B5F7-4C51-B1EA-86B8D281D3BD}"/>
    <cellStyle name="Nota 2 10 2 2 3 2" xfId="4865" xr:uid="{3359C199-4692-439B-87A1-96AD21129953}"/>
    <cellStyle name="Nota 2 10 2 2 3 3" xfId="6869" xr:uid="{A9A00199-9075-4E5D-9B36-E26975B257AE}"/>
    <cellStyle name="Nota 2 10 2 2 3 4" xfId="8290" xr:uid="{CAA22D1E-166D-47DD-82E8-B023B10BEB37}"/>
    <cellStyle name="Nota 2 10 2 2 4" xfId="2946" xr:uid="{A1A840C6-6EFB-4F61-AAF0-433A000A0F99}"/>
    <cellStyle name="Nota 2 10 2 2 4 2" xfId="5260" xr:uid="{2779A596-247F-4CC9-8723-9B656F6D598E}"/>
    <cellStyle name="Nota 2 10 2 2 4 3" xfId="7254" xr:uid="{47D9BBFB-27A9-47C8-ACC9-63E723200E67}"/>
    <cellStyle name="Nota 2 10 2 2 4 4" xfId="8538" xr:uid="{2D709844-E96C-44BE-A0F4-7D0363186956}"/>
    <cellStyle name="Nota 2 10 2 2 5" xfId="3151" xr:uid="{737067A0-0D8B-422B-B5B2-62C1DD608E20}"/>
    <cellStyle name="Nota 2 10 2 2 5 2" xfId="5465" xr:uid="{4BEC06D9-56BA-4545-8A1F-4DA9F3968368}"/>
    <cellStyle name="Nota 2 10 2 2 5 3" xfId="7459" xr:uid="{C359A4EA-B535-4A34-8EFE-0107A2929BFD}"/>
    <cellStyle name="Nota 2 10 2 2 5 4" xfId="8703" xr:uid="{9BAFB6A7-DE7F-415E-9091-60C702C81724}"/>
    <cellStyle name="Nota 2 10 2 2 6" xfId="1489" xr:uid="{DC04BDF5-154B-41C7-9B7F-22B45F6693E4}"/>
    <cellStyle name="Nota 2 10 2 2 7" xfId="3805" xr:uid="{8C7E3CC4-E76C-4E6A-8883-5D6C4F812C79}"/>
    <cellStyle name="Nota 2 10 2 2 8" xfId="5888" xr:uid="{E4FF0179-D554-40B6-8EDB-AFFBF39B7FC3}"/>
    <cellStyle name="Nota 2 10 2 2 9" xfId="7639" xr:uid="{1B27F887-0CEA-4505-BE11-F736B29C9A64}"/>
    <cellStyle name="Nota 2 10 2 3" xfId="719" xr:uid="{D2153A99-E03C-4B14-A62D-1C2F0E1A8F39}"/>
    <cellStyle name="Nota 2 10 2 3 2" xfId="2177" xr:uid="{A0F48801-7B67-4A77-9FB8-09F5B64E4887}"/>
    <cellStyle name="Nota 2 10 2 3 2 2" xfId="4491" xr:uid="{317322FE-D062-4604-9508-F2129D03D416}"/>
    <cellStyle name="Nota 2 10 2 3 2 3" xfId="6513" xr:uid="{2C49430F-03BF-4F37-868E-685AF74CB18D}"/>
    <cellStyle name="Nota 2 10 2 3 2 4" xfId="8069" xr:uid="{8FA5261A-B85A-4A09-BAE5-40A65D7A281C}"/>
    <cellStyle name="Nota 2 10 2 3 3" xfId="2629" xr:uid="{35B801E7-259B-4396-90E2-3689476E82A8}"/>
    <cellStyle name="Nota 2 10 2 3 3 2" xfId="4943" xr:uid="{CEB90899-FAC4-407C-89F0-F4E92B001AD8}"/>
    <cellStyle name="Nota 2 10 2 3 3 3" xfId="6937" xr:uid="{8950FD71-7834-4EA8-BDBD-3345DA99E74E}"/>
    <cellStyle name="Nota 2 10 2 3 3 4" xfId="8349" xr:uid="{FB61B6EF-BB6F-4F9A-BFB2-CB3A333EDCA8}"/>
    <cellStyle name="Nota 2 10 2 3 4" xfId="3004" xr:uid="{320648A4-DF0D-4A20-824C-7FBB15C41672}"/>
    <cellStyle name="Nota 2 10 2 3 4 2" xfId="5318" xr:uid="{AB1011B9-1D69-4986-9A40-CEE43F4181A2}"/>
    <cellStyle name="Nota 2 10 2 3 4 3" xfId="7312" xr:uid="{78B1FB61-F32E-4C82-B378-E7DE560157C9}"/>
    <cellStyle name="Nota 2 10 2 3 4 4" xfId="8577" xr:uid="{CCCD7F25-D3D4-47C9-8EEA-AD11B4169528}"/>
    <cellStyle name="Nota 2 10 2 3 5" xfId="3189" xr:uid="{69098DC5-381D-4DED-89AB-0777F6E853D5}"/>
    <cellStyle name="Nota 2 10 2 3 5 2" xfId="5503" xr:uid="{57EA7AAB-235A-4BC9-97C6-1CCA24D24D51}"/>
    <cellStyle name="Nota 2 10 2 3 5 3" xfId="7497" xr:uid="{AAC778A7-5361-485F-A6B3-70A616380BAA}"/>
    <cellStyle name="Nota 2 10 2 3 5 4" xfId="8741" xr:uid="{7E5440C0-AB38-48B9-964A-925061DA5778}"/>
    <cellStyle name="Nota 2 10 2 3 6" xfId="1567" xr:uid="{3DE97AA2-3D1F-457A-968D-E0E79BE93F0E}"/>
    <cellStyle name="Nota 2 10 2 3 7" xfId="3883" xr:uid="{4FDBAEAA-156F-4BF6-B630-8AC9F2CA3C31}"/>
    <cellStyle name="Nota 2 10 2 3 8" xfId="5950" xr:uid="{83A792E9-9036-440D-8AC0-6B57D2FBCA03}"/>
    <cellStyle name="Nota 2 10 2 3 9" xfId="7698" xr:uid="{D7CEFB98-B6D3-4CD1-9C45-E10FA545F5A4}"/>
    <cellStyle name="Nota 2 10 2 4" xfId="527" xr:uid="{F8AB95C7-1113-4A8D-A735-77A78EFFC4DD}"/>
    <cellStyle name="Nota 2 10 2 4 2" xfId="1986" xr:uid="{E36B02FA-2A79-46DE-AC30-2EDE3BAB9B69}"/>
    <cellStyle name="Nota 2 10 2 4 2 2" xfId="4300" xr:uid="{42CDAD5C-403C-4407-ABF8-2446DFB0BADE}"/>
    <cellStyle name="Nota 2 10 2 4 2 3" xfId="6341" xr:uid="{8A4ED9F2-2EDC-479A-BE38-86463F31A1C8}"/>
    <cellStyle name="Nota 2 10 2 4 2 4" xfId="7945" xr:uid="{65D2F0CB-576E-4D7A-9282-B69E57773D9D}"/>
    <cellStyle name="Nota 2 10 2 4 3" xfId="2437" xr:uid="{48EAD16A-41A1-498C-B4D9-BC282B2BB0DE}"/>
    <cellStyle name="Nota 2 10 2 4 3 2" xfId="4751" xr:uid="{6899DE41-7E35-4090-8F51-B2726BFE62B1}"/>
    <cellStyle name="Nota 2 10 2 4 3 3" xfId="6761" xr:uid="{19909D49-519B-4BC2-98EA-B4427F9B7ACD}"/>
    <cellStyle name="Nota 2 10 2 4 3 4" xfId="8224" xr:uid="{029069A0-766A-438A-BCC3-E92696186FBF}"/>
    <cellStyle name="Nota 2 10 2 4 4" xfId="2842" xr:uid="{BCEF795D-E758-40C2-9A1E-C244514FE939}"/>
    <cellStyle name="Nota 2 10 2 4 4 2" xfId="5156" xr:uid="{2C8820FE-AD1B-4DFB-B7E9-E35247681C1D}"/>
    <cellStyle name="Nota 2 10 2 4 4 3" xfId="7150" xr:uid="{8D59B7E5-568A-4249-95B3-7C96FB0ED40B}"/>
    <cellStyle name="Nota 2 10 2 4 4 4" xfId="8482" xr:uid="{25D3D48F-FF25-47A7-90A3-2E9E9F23F296}"/>
    <cellStyle name="Nota 2 10 2 4 5" xfId="3097" xr:uid="{45288445-0A66-4F0D-BA25-338DB134E482}"/>
    <cellStyle name="Nota 2 10 2 4 5 2" xfId="5411" xr:uid="{FA9DD849-6ADF-47F9-9A66-626E20AAB73D}"/>
    <cellStyle name="Nota 2 10 2 4 5 3" xfId="7405" xr:uid="{0DB16E97-6848-4220-84E6-A6409F081F7E}"/>
    <cellStyle name="Nota 2 10 2 4 5 4" xfId="8649" xr:uid="{72437B6B-EBF7-4596-BF6A-7CB2F73734CC}"/>
    <cellStyle name="Nota 2 10 2 4 6" xfId="1375" xr:uid="{21393DA0-206B-4105-830F-4352D9264602}"/>
    <cellStyle name="Nota 2 10 2 4 7" xfId="3691" xr:uid="{09E1013E-7B69-4374-90BB-C0801C3364A4}"/>
    <cellStyle name="Nota 2 10 2 4 8" xfId="5781" xr:uid="{DBA5AEBF-6F42-45BC-B7FB-D31502FB5B9A}"/>
    <cellStyle name="Nota 2 10 2 4 9" xfId="7574" xr:uid="{74BFD1C2-03B4-4D81-AD0E-B2FD15F7E467}"/>
    <cellStyle name="Nota 2 10 2 5" xfId="1764" xr:uid="{EA6FEF79-44C3-4200-8CDD-C0585BCF630D}"/>
    <cellStyle name="Nota 2 10 2 5 2" xfId="4078" xr:uid="{92BBAA7E-11AF-4567-B70F-A7ECEEC620E2}"/>
    <cellStyle name="Nota 2 10 2 5 3" xfId="6128" xr:uid="{9C6C8A25-AA6C-468E-BE6F-DADECAFE4FA5}"/>
    <cellStyle name="Nota 2 10 2 5 4" xfId="7813" xr:uid="{242B754B-6CDF-4C09-981A-8194E586D979}"/>
    <cellStyle name="Nota 2 10 2 6" xfId="916" xr:uid="{F7024859-9660-4327-B6AC-167A7EC1CE18}"/>
    <cellStyle name="Nota 2 10 2 6 2" xfId="3298" xr:uid="{AA0D25C3-C73E-4333-9BF2-A2F80FBCBBAA}"/>
    <cellStyle name="Nota 2 10 2 6 3" xfId="3713" xr:uid="{EC0CBA1C-BC45-4126-9DC7-BB838E687D44}"/>
    <cellStyle name="Nota 2 10 2 6 4" xfId="5899" xr:uid="{49458D1B-0AD5-4468-A3DC-4F211DD10DB1}"/>
    <cellStyle name="Nota 2 10 2 7" xfId="1870" xr:uid="{136634C3-9D09-4B61-90D3-9425FA736CA0}"/>
    <cellStyle name="Nota 2 10 2 7 2" xfId="4184" xr:uid="{9A98ADF7-B9F2-40B2-91FC-2A7DA2F2CE83}"/>
    <cellStyle name="Nota 2 10 2 7 3" xfId="6232" xr:uid="{93537364-54FD-46D2-A377-BCD13E35C3E6}"/>
    <cellStyle name="Nota 2 10 2 7 4" xfId="7868" xr:uid="{66DBCB33-1252-40F5-9373-1852F66A066D}"/>
    <cellStyle name="Nota 2 10 2 8" xfId="1690" xr:uid="{C018C6C4-4380-4550-991B-A3FCAD2C5D85}"/>
    <cellStyle name="Nota 2 10 2 8 2" xfId="4004" xr:uid="{603E38E9-670F-4E66-B942-CDA230F1DFA1}"/>
    <cellStyle name="Nota 2 10 2 8 3" xfId="6060" xr:uid="{FBB3D30C-E8D4-4645-BE12-8C98C23BA0C1}"/>
    <cellStyle name="Nota 2 10 2 8 4" xfId="7766" xr:uid="{3D37E280-DAB8-44A2-9451-DF52A0E1154F}"/>
    <cellStyle name="Nota 2 10 2 9" xfId="1115" xr:uid="{A357118C-BD59-45EF-94BB-AE282A765CF4}"/>
    <cellStyle name="Nota 2 10 3" xfId="439" xr:uid="{22616DBB-1E76-46A2-9F72-0E40B4F03F02}"/>
    <cellStyle name="Nota 2 10 3 2" xfId="1911" xr:uid="{42BA8DF4-0A6E-4A6E-87F8-028A2E76741B}"/>
    <cellStyle name="Nota 2 10 3 2 2" xfId="4225" xr:uid="{80D992BF-B472-4948-8A05-6EB2C3A8C487}"/>
    <cellStyle name="Nota 2 10 3 2 3" xfId="6270" xr:uid="{2C05EBB8-A750-47A7-8AD9-7C6BE1CF40EE}"/>
    <cellStyle name="Nota 2 10 3 2 4" xfId="7897" xr:uid="{F14A06CC-D243-4E42-ABB6-83AA8D94B004}"/>
    <cellStyle name="Nota 2 10 3 3" xfId="2367" xr:uid="{CDD4A828-1BB6-4EE1-9E10-7CBE12249268}"/>
    <cellStyle name="Nota 2 10 3 3 2" xfId="4681" xr:uid="{4030D02F-E3CE-4CBE-A67F-E974BA6DC5A7}"/>
    <cellStyle name="Nota 2 10 3 3 3" xfId="6694" xr:uid="{22E06F48-8E0A-408F-97B2-DBD885B40F8D}"/>
    <cellStyle name="Nota 2 10 3 3 4" xfId="8179" xr:uid="{AB357C48-2575-401A-890F-449EB9D66AEB}"/>
    <cellStyle name="Nota 2 10 3 4" xfId="2779" xr:uid="{29E9427C-A240-4BAE-9589-A816F39CE5F1}"/>
    <cellStyle name="Nota 2 10 3 4 2" xfId="5093" xr:uid="{99B44B72-6157-4EA4-A80E-EF3F4196EB0C}"/>
    <cellStyle name="Nota 2 10 3 4 3" xfId="7087" xr:uid="{8DDEB3E4-727C-43BE-B55F-EA8C79CDAE64}"/>
    <cellStyle name="Nota 2 10 3 4 4" xfId="8444" xr:uid="{DBC3D0E3-A197-419F-BD88-CC42A44EBEA2}"/>
    <cellStyle name="Nota 2 10 3 5" xfId="3068" xr:uid="{D1F52DA8-636F-4F02-81A9-A097F7DA313E}"/>
    <cellStyle name="Nota 2 10 3 5 2" xfId="5382" xr:uid="{AA59A2CA-D99A-4B87-9944-49027A8BC5C7}"/>
    <cellStyle name="Nota 2 10 3 5 3" xfId="7376" xr:uid="{8C724A6A-C632-4440-AFF1-86E365BE32B3}"/>
    <cellStyle name="Nota 2 10 3 5 4" xfId="8620" xr:uid="{79E2409A-CC75-4AE2-86F9-BC1187E863AA}"/>
    <cellStyle name="Nota 2 10 3 6" xfId="1287" xr:uid="{13E04504-C676-4366-8DA3-263D5EEE8DDE}"/>
    <cellStyle name="Nota 2 10 3 7" xfId="3613" xr:uid="{71F9CEDD-01A0-4D71-B07E-E48E31C748F6}"/>
    <cellStyle name="Nota 2 10 3 8" xfId="5715" xr:uid="{B0A94B40-C3C0-4C03-919C-6742385C82E8}"/>
    <cellStyle name="Nota 2 10 3 9" xfId="7538" xr:uid="{35247A4C-6652-4CAC-A506-96614DDB9EAA}"/>
    <cellStyle name="Nota 2 10 4" xfId="578" xr:uid="{9E68275C-4FE8-472C-BFAA-7307E3FAF219}"/>
    <cellStyle name="Nota 2 10 4 2" xfId="2036" xr:uid="{4D88A7BD-A133-4541-A270-394C8C9230D3}"/>
    <cellStyle name="Nota 2 10 4 2 2" xfId="4350" xr:uid="{37327AC0-A02E-487F-B7F7-CF583C670D54}"/>
    <cellStyle name="Nota 2 10 4 2 3" xfId="6391" xr:uid="{D60F1A24-7FA4-4B0B-A32D-0B1884288650}"/>
    <cellStyle name="Nota 2 10 4 2 4" xfId="7964" xr:uid="{8384963F-2653-4914-8B17-9350F4089BCE}"/>
    <cellStyle name="Nota 2 10 4 3" xfId="2488" xr:uid="{F4A27A73-2C62-42F0-A36E-EFE29E10B47C}"/>
    <cellStyle name="Nota 2 10 4 3 2" xfId="4802" xr:uid="{5BF26E65-8815-4FEB-8422-C3843BD678D3}"/>
    <cellStyle name="Nota 2 10 4 3 3" xfId="6812" xr:uid="{5DF147B5-AA91-40F0-9C0B-84034D4559F7}"/>
    <cellStyle name="Nota 2 10 4 3 4" xfId="8244" xr:uid="{175A6871-83A8-46DC-9156-BF700CA5DA2B}"/>
    <cellStyle name="Nota 2 10 4 4" xfId="2893" xr:uid="{5AF94D4E-8E66-46B2-AA35-9D7C57C45776}"/>
    <cellStyle name="Nota 2 10 4 4 2" xfId="5207" xr:uid="{33349618-B006-442A-B865-5D1B1D299F4E}"/>
    <cellStyle name="Nota 2 10 4 4 3" xfId="7201" xr:uid="{CF909AB6-876D-4837-91B2-3F7D8211ED55}"/>
    <cellStyle name="Nota 2 10 4 4 4" xfId="8502" xr:uid="{3B94EF4E-7B2B-474F-AD34-71405D904607}"/>
    <cellStyle name="Nota 2 10 4 5" xfId="3116" xr:uid="{402C9723-013C-4B9B-97D4-BF71F41CE3B9}"/>
    <cellStyle name="Nota 2 10 4 5 2" xfId="5430" xr:uid="{AAF4400D-36E8-46B6-87D0-21B83DD970D7}"/>
    <cellStyle name="Nota 2 10 4 5 3" xfId="7424" xr:uid="{6353B2CF-8786-4945-A202-520B8D2DF08C}"/>
    <cellStyle name="Nota 2 10 4 5 4" xfId="8668" xr:uid="{7E388A73-5787-4AAD-BA93-22CBB3F7A894}"/>
    <cellStyle name="Nota 2 10 4 6" xfId="1426" xr:uid="{BEE7097F-5BE0-495B-8F54-2E871F279643}"/>
    <cellStyle name="Nota 2 10 4 7" xfId="3742" xr:uid="{A1ECBEE0-3009-4E83-8C53-E78214F393FE}"/>
    <cellStyle name="Nota 2 10 4 8" xfId="5832" xr:uid="{8D57EEED-C48C-4114-9634-FE63612381DD}"/>
    <cellStyle name="Nota 2 10 4 9" xfId="7593" xr:uid="{1FF0AFAF-1A29-45E9-9243-0E0AB0E9073F}"/>
    <cellStyle name="Nota 2 10 5" xfId="349" xr:uid="{FC12BEEB-4435-4FB9-BF8C-32F29D78C04E}"/>
    <cellStyle name="Nota 2 10 5 2" xfId="1836" xr:uid="{232966E5-4D72-46F6-BBF9-0D57C64478CD}"/>
    <cellStyle name="Nota 2 10 5 2 2" xfId="4150" xr:uid="{8681F0B3-A1DC-4F60-A7A7-DC35598BFB88}"/>
    <cellStyle name="Nota 2 10 5 2 3" xfId="6199" xr:uid="{71581429-D1ED-4747-9CC6-FDC5CB223F77}"/>
    <cellStyle name="Nota 2 10 5 2 4" xfId="7851" xr:uid="{B4D3A18A-E2F4-47CB-9E28-0CC4B41CF39D}"/>
    <cellStyle name="Nota 2 10 5 3" xfId="2291" xr:uid="{505DFC40-616C-4897-A456-23956994C286}"/>
    <cellStyle name="Nota 2 10 5 3 2" xfId="4605" xr:uid="{87C10C95-B718-44AC-B754-B17DCC1A6732}"/>
    <cellStyle name="Nota 2 10 5 3 3" xfId="6627" xr:uid="{9049BB14-222A-4DD5-9AAE-424E8169C11D}"/>
    <cellStyle name="Nota 2 10 5 3 4" xfId="8133" xr:uid="{FF10C888-5CB3-4886-BD71-1B356F9BC357}"/>
    <cellStyle name="Nota 2 10 5 4" xfId="2721" xr:uid="{78B8BEB4-5A0E-40B1-B8A5-04B37EA5F5CB}"/>
    <cellStyle name="Nota 2 10 5 4 2" xfId="5035" xr:uid="{37ECDA6D-B709-40F1-B2CF-7F745808F3D6}"/>
    <cellStyle name="Nota 2 10 5 4 3" xfId="7029" xr:uid="{A4A3B14F-12CB-486D-9D9B-D8FB317D5144}"/>
    <cellStyle name="Nota 2 10 5 4 4" xfId="8413" xr:uid="{17C05C2A-07C7-4022-BE30-794BA727AF15}"/>
    <cellStyle name="Nota 2 10 5 5" xfId="2240" xr:uid="{BF41483D-B2BE-4189-AFE1-52F674367213}"/>
    <cellStyle name="Nota 2 10 5 5 2" xfId="4554" xr:uid="{1DE9983F-021A-4788-8D98-1F833056F03F}"/>
    <cellStyle name="Nota 2 10 5 5 3" xfId="6576" xr:uid="{16F7603D-BBE0-431E-9836-A0232058955F}"/>
    <cellStyle name="Nota 2 10 5 5 4" xfId="8105" xr:uid="{9017AEDE-FCF4-418E-A257-96F90E105A40}"/>
    <cellStyle name="Nota 2 10 5 6" xfId="1197" xr:uid="{FBB9BA0D-3C8C-4F17-BC70-654A72909E09}"/>
    <cellStyle name="Nota 2 10 5 7" xfId="3535" xr:uid="{2C0BAF6B-DE67-4322-B988-B663FAB0A532}"/>
    <cellStyle name="Nota 2 10 5 8" xfId="5655" xr:uid="{1BA92D0D-9521-44CA-AC92-43B63904D2FE}"/>
    <cellStyle name="Nota 2 10 5 9" xfId="817" xr:uid="{85A63555-CD7B-45B4-B5AA-DF86BFEDE5FA}"/>
    <cellStyle name="Nota 2 10 6" xfId="977" xr:uid="{93FC2D46-819F-49FC-9BC4-12A959B4F38F}"/>
    <cellStyle name="Nota 2 10 6 2" xfId="3352" xr:uid="{42CC12E8-8DEC-4B00-80F5-8916B63D7077}"/>
    <cellStyle name="Nota 2 10 6 3" xfId="3327" xr:uid="{15BFA832-6FA5-4563-8C8A-32CEA083297E}"/>
    <cellStyle name="Nota 2 10 6 4" xfId="5760" xr:uid="{F08674E6-B441-4BD5-AB2D-1DF32F015491}"/>
    <cellStyle name="Nota 2 10 7" xfId="1662" xr:uid="{9DF8CDA5-4E02-43CC-AB1D-047E707C5965}"/>
    <cellStyle name="Nota 2 10 7 2" xfId="3976" xr:uid="{9D17253A-9D6C-4D23-9114-DDE481BB268B}"/>
    <cellStyle name="Nota 2 10 7 3" xfId="6033" xr:uid="{58241DF8-3829-4925-8EF9-DCF0C0D1931C}"/>
    <cellStyle name="Nota 2 10 7 4" xfId="7750" xr:uid="{C3A83BCF-FDE1-41A5-97C1-A2A84F70766D}"/>
    <cellStyle name="Nota 2 10 8" xfId="1689" xr:uid="{BCFA9615-C705-49F1-AD1D-5FB611CB9A11}"/>
    <cellStyle name="Nota 2 10 8 2" xfId="4003" xr:uid="{C4C35203-7033-4F23-917A-8F502B568E70}"/>
    <cellStyle name="Nota 2 10 8 3" xfId="6059" xr:uid="{B8F7BA6A-1889-4C57-AEDC-47D660395B1F}"/>
    <cellStyle name="Nota 2 10 8 4" xfId="7765" xr:uid="{38252F0A-BC21-4D83-B159-B8ACE24D350E}"/>
    <cellStyle name="Nota 2 10 9" xfId="933" xr:uid="{F4EDD746-A34E-49FC-924D-EAF41114415B}"/>
    <cellStyle name="Nota 2 10 9 2" xfId="3315" xr:uid="{9F881CFC-7CB9-4048-A01A-5E39269ECE73}"/>
    <cellStyle name="Nota 2 10 9 3" xfId="3214" xr:uid="{A8369CC4-97B0-410E-B3B5-504DE65CD234}"/>
    <cellStyle name="Nota 2 10 9 4" xfId="6088" xr:uid="{B11B0FAB-CBE0-4A33-A90F-EB4D4D3DA841}"/>
    <cellStyle name="Nota 2 11" xfId="205" xr:uid="{9EA0F14A-BD76-44FB-8569-EA91B82AF323}"/>
    <cellStyle name="Nota 2 11 10" xfId="5549" xr:uid="{BCEFE00B-14DE-46F0-9A71-EE68A130F3BA}"/>
    <cellStyle name="Nota 2 11 11" xfId="3555" xr:uid="{2F583186-9303-4DAD-84B6-82816181134C}"/>
    <cellStyle name="Nota 2 11 2" xfId="607" xr:uid="{8C34FD50-F9F3-4B24-B6B6-D350C127C359}"/>
    <cellStyle name="Nota 2 11 2 2" xfId="2065" xr:uid="{405EC76B-6FB0-46C7-998B-D46E53BF4DFB}"/>
    <cellStyle name="Nota 2 11 2 2 2" xfId="4379" xr:uid="{11D1B231-9072-4B2E-9F82-528E3F0B6370}"/>
    <cellStyle name="Nota 2 11 2 2 3" xfId="6419" xr:uid="{F8252503-8986-401A-9C6E-95D9E7802352}"/>
    <cellStyle name="Nota 2 11 2 2 4" xfId="7977" xr:uid="{8F87E0FE-D4BA-4C0E-81E8-366C28DBC402}"/>
    <cellStyle name="Nota 2 11 2 3" xfId="2517" xr:uid="{4D62920C-0FCC-4579-9388-7B4236D7EE76}"/>
    <cellStyle name="Nota 2 11 2 3 2" xfId="4831" xr:uid="{5E85AE3F-FD02-42B9-8E27-92C130C0E4BD}"/>
    <cellStyle name="Nota 2 11 2 3 3" xfId="6840" xr:uid="{032AE462-32B2-451C-81DA-760674B197B0}"/>
    <cellStyle name="Nota 2 11 2 3 4" xfId="8257" xr:uid="{F0A1AE30-8930-4C16-8902-CD56F022BC0C}"/>
    <cellStyle name="Nota 2 11 2 4" xfId="2921" xr:uid="{1207F8DC-7223-4CB6-9F32-0F13BB0A26E5}"/>
    <cellStyle name="Nota 2 11 2 4 2" xfId="5235" xr:uid="{22A7D7E4-7CD3-4305-85C1-51A72FC5EDA9}"/>
    <cellStyle name="Nota 2 11 2 4 3" xfId="7229" xr:uid="{8986BB05-A60B-456B-AFA6-060E7100E059}"/>
    <cellStyle name="Nota 2 11 2 4 4" xfId="8514" xr:uid="{8B91E833-FA0F-400A-8609-0D25A2BCFFEE}"/>
    <cellStyle name="Nota 2 11 2 5" xfId="3128" xr:uid="{928AC061-AAA3-4EEE-B940-E38655A92068}"/>
    <cellStyle name="Nota 2 11 2 5 2" xfId="5442" xr:uid="{DB13C316-1CC8-43EB-8BBE-0CB970FA4684}"/>
    <cellStyle name="Nota 2 11 2 5 3" xfId="7436" xr:uid="{F19013B0-79F7-4936-8E9F-A2DEF5FC3F17}"/>
    <cellStyle name="Nota 2 11 2 5 4" xfId="8680" xr:uid="{193BA2F9-B78D-4A50-892D-37FA3C2C1783}"/>
    <cellStyle name="Nota 2 11 2 6" xfId="1455" xr:uid="{05736E81-AFEB-43F6-BEB7-04C3BCB47223}"/>
    <cellStyle name="Nota 2 11 2 7" xfId="3771" xr:uid="{AF53484F-23A8-4103-8606-A35B7AC51147}"/>
    <cellStyle name="Nota 2 11 2 8" xfId="5860" xr:uid="{EBCF1519-9C2B-484F-8537-221EE0E9B792}"/>
    <cellStyle name="Nota 2 11 2 9" xfId="7606" xr:uid="{4745BAF1-576A-4BDE-8BFD-4454D66F0E4F}"/>
    <cellStyle name="Nota 2 11 3" xfId="551" xr:uid="{2388C963-ACFB-4F52-B2FE-580A62AC75DF}"/>
    <cellStyle name="Nota 2 11 3 2" xfId="2009" xr:uid="{22E2564D-3C40-49A3-AEA8-8AE93F8B3595}"/>
    <cellStyle name="Nota 2 11 3 2 2" xfId="4323" xr:uid="{2B4E0C5E-6C12-4A1C-9B84-401B2810D16E}"/>
    <cellStyle name="Nota 2 11 3 2 3" xfId="6364" xr:uid="{139007ED-3A16-4420-964C-63E0227E56DA}"/>
    <cellStyle name="Nota 2 11 3 2 4" xfId="7947" xr:uid="{AB5CC9F0-BAF5-4CFB-903E-D58FE33E9343}"/>
    <cellStyle name="Nota 2 11 3 3" xfId="2461" xr:uid="{7F45CEA9-A9A9-4168-852B-87D387783C6E}"/>
    <cellStyle name="Nota 2 11 3 3 2" xfId="4775" xr:uid="{2F698D04-910E-4907-9824-2FA37ECA2AF2}"/>
    <cellStyle name="Nota 2 11 3 3 3" xfId="6785" xr:uid="{0FCADAD8-A35E-4AF9-84E3-2D82B64F226B}"/>
    <cellStyle name="Nota 2 11 3 3 4" xfId="8227" xr:uid="{BFC8609B-B898-42B9-A207-BEA98457B334}"/>
    <cellStyle name="Nota 2 11 3 4" xfId="2866" xr:uid="{645EC54D-9B2B-4AE0-8607-935DDF2080A4}"/>
    <cellStyle name="Nota 2 11 3 4 2" xfId="5180" xr:uid="{471B169E-2D5F-4EA6-B974-A4C57BD510B9}"/>
    <cellStyle name="Nota 2 11 3 4 3" xfId="7174" xr:uid="{BFCB4798-CDC3-4B19-A7A2-719B6A4A0D3F}"/>
    <cellStyle name="Nota 2 11 3 4 4" xfId="8485" xr:uid="{65C3EC6B-51DA-4833-B04A-71AB9BCAF7A2}"/>
    <cellStyle name="Nota 2 11 3 5" xfId="3099" xr:uid="{4C3F8D7F-EC9D-4989-BD2D-8648785CDA57}"/>
    <cellStyle name="Nota 2 11 3 5 2" xfId="5413" xr:uid="{FFCA3CFB-47B2-486B-AB87-E82CD0BFBDE1}"/>
    <cellStyle name="Nota 2 11 3 5 3" xfId="7407" xr:uid="{5749329B-06CF-43F5-8155-6D00554A33ED}"/>
    <cellStyle name="Nota 2 11 3 5 4" xfId="8651" xr:uid="{78B7D27E-209A-4B46-9A6D-1651E8DC2C77}"/>
    <cellStyle name="Nota 2 11 3 6" xfId="1399" xr:uid="{A573B937-F950-459D-8D45-F69A075F1506}"/>
    <cellStyle name="Nota 2 11 3 7" xfId="3715" xr:uid="{C4FA2BC3-89F0-478C-BF71-08DFB4595E4D}"/>
    <cellStyle name="Nota 2 11 3 8" xfId="5805" xr:uid="{7650E70D-BF3E-4D8C-B45D-1507EA67ABED}"/>
    <cellStyle name="Nota 2 11 3 9" xfId="7576" xr:uid="{C64F433E-AD29-4EFC-B664-C132113BF48C}"/>
    <cellStyle name="Nota 2 11 4" xfId="1713" xr:uid="{94D0BE0B-E31C-4225-ACE6-C15BDBA22474}"/>
    <cellStyle name="Nota 2 11 4 2" xfId="4027" xr:uid="{D1771DC2-CC02-403F-9BCD-D9594F40D8C7}"/>
    <cellStyle name="Nota 2 11 4 3" xfId="6081" xr:uid="{C1FB538E-743C-4228-9FE1-A25A89597263}"/>
    <cellStyle name="Nota 2 11 4 4" xfId="7777" xr:uid="{AC35E25A-F11C-44D7-970A-025D1C1DD817}"/>
    <cellStyle name="Nota 2 11 5" xfId="1664" xr:uid="{76610986-19AB-4F19-A905-C0D7B7F0A81E}"/>
    <cellStyle name="Nota 2 11 5 2" xfId="3978" xr:uid="{87A2E916-AF72-4965-9459-70B93053AD79}"/>
    <cellStyle name="Nota 2 11 5 3" xfId="6035" xr:uid="{07DF28C2-F1C0-41EE-96E3-2CDB723F5FAA}"/>
    <cellStyle name="Nota 2 11 5 4" xfId="7751" xr:uid="{6F97147F-B8A9-4D08-9DC3-4E5DBCB6742A}"/>
    <cellStyle name="Nota 2 11 6" xfId="2671" xr:uid="{44C7954A-FA9C-4DA0-B133-09413DDB3F00}"/>
    <cellStyle name="Nota 2 11 6 2" xfId="4985" xr:uid="{40AB4B58-3F4D-4561-B9CA-9C6D9A529543}"/>
    <cellStyle name="Nota 2 11 6 3" xfId="6979" xr:uid="{377FDD23-E5C8-4663-90F6-005EF0C24C36}"/>
    <cellStyle name="Nota 2 11 6 4" xfId="8370" xr:uid="{E1C20F9D-58C3-430D-BE8C-D7F1653655AF}"/>
    <cellStyle name="Nota 2 11 7" xfId="2678" xr:uid="{5A73664B-83B7-4B9C-A695-0FDEC7226FA1}"/>
    <cellStyle name="Nota 2 11 7 2" xfId="4992" xr:uid="{C4B3735E-277C-4A9D-B0D3-271949EB9D0B}"/>
    <cellStyle name="Nota 2 11 7 3" xfId="6986" xr:uid="{70B037FE-373C-488F-8F20-B9123636D7EB}"/>
    <cellStyle name="Nota 2 11 7 4" xfId="8377" xr:uid="{E39C3515-06DD-473A-9954-7EA92967B73A}"/>
    <cellStyle name="Nota 2 11 8" xfId="1053" xr:uid="{BB136B42-93A9-414D-ACF9-31E3EBF20A70}"/>
    <cellStyle name="Nota 2 11 9" xfId="3414" xr:uid="{FD485556-F780-4AEB-B74A-BB13E206CAF1}"/>
    <cellStyle name="Nota 2 12" xfId="373" xr:uid="{F374EC63-53C5-442F-B14A-99BB5C151C2A}"/>
    <cellStyle name="Nota 2 12 2" xfId="1856" xr:uid="{4F42264D-60A7-4F0A-BBE2-9314A1E36844}"/>
    <cellStyle name="Nota 2 12 2 2" xfId="4170" xr:uid="{B45C11B7-6F43-4212-BE63-54B8642A5F30}"/>
    <cellStyle name="Nota 2 12 2 3" xfId="6218" xr:uid="{58B94214-489E-4D88-BAFB-1F0CFD47A996}"/>
    <cellStyle name="Nota 2 12 2 4" xfId="7857" xr:uid="{008694D4-3545-4823-9203-71C0C82ACC3D}"/>
    <cellStyle name="Nota 2 12 3" xfId="2313" xr:uid="{FA3D0C58-F56C-4781-9A8E-F3E70D70184D}"/>
    <cellStyle name="Nota 2 12 3 2" xfId="4627" xr:uid="{7582390E-845B-4043-94E6-2E48CFABCBEF}"/>
    <cellStyle name="Nota 2 12 3 3" xfId="6648" xr:uid="{37A45D63-671E-4E04-B3CD-86560F27F3CA}"/>
    <cellStyle name="Nota 2 12 3 4" xfId="8140" xr:uid="{1E985138-E7D5-4DE6-A6F4-C46AE9DCCC4C}"/>
    <cellStyle name="Nota 2 12 4" xfId="2738" xr:uid="{4B980BBE-4EDA-4F69-9847-C7BBF3A7B59F}"/>
    <cellStyle name="Nota 2 12 4 2" xfId="5052" xr:uid="{5C50D41B-128A-45D9-A0C1-48B9C0C11B56}"/>
    <cellStyle name="Nota 2 12 4 3" xfId="7046" xr:uid="{A5F6564D-BEDE-4880-9898-7CFF3152DF09}"/>
    <cellStyle name="Nota 2 12 4 4" xfId="8416" xr:uid="{7422A1AA-079C-4853-8FF3-70C012C2F8E8}"/>
    <cellStyle name="Nota 2 12 5" xfId="1694" xr:uid="{85F63151-B896-4555-9480-C9E8A31743AC}"/>
    <cellStyle name="Nota 2 12 5 2" xfId="4008" xr:uid="{679200F3-3465-405C-A8B8-66AA6C28E641}"/>
    <cellStyle name="Nota 2 12 5 3" xfId="6063" xr:uid="{E402FE22-3995-4765-A052-ABA7A26D0A43}"/>
    <cellStyle name="Nota 2 12 5 4" xfId="7770" xr:uid="{48DD6A33-4684-4833-B1B4-939FE33A69C0}"/>
    <cellStyle name="Nota 2 12 6" xfId="1221" xr:uid="{6BBF6D14-E25C-4200-91AE-347C6FE1E555}"/>
    <cellStyle name="Nota 2 12 7" xfId="3556" xr:uid="{DCF277C8-6488-407F-B69C-C63CA3C3D54B}"/>
    <cellStyle name="Nota 2 12 8" xfId="5674" xr:uid="{D58DBBD5-5167-4393-B856-264E86FF894E}"/>
    <cellStyle name="Nota 2 12 9" xfId="3379" xr:uid="{1EA0C94D-05B8-4C04-B15F-8224ABFB9659}"/>
    <cellStyle name="Nota 2 13" xfId="898" xr:uid="{943D048D-1A5C-403D-81C8-7069B04F6DE0}"/>
    <cellStyle name="Nota 2 13 2" xfId="3281" xr:uid="{7B1D3AB3-EF20-4B6F-955B-85FE0C345D7D}"/>
    <cellStyle name="Nota 2 13 3" xfId="3404" xr:uid="{D8912B36-8FD7-4DD6-846F-BD7B0BFC059E}"/>
    <cellStyle name="Nota 2 13 4" xfId="6447" xr:uid="{A6B0BCEA-1570-4A18-AF37-B78EC6A41630}"/>
    <cellStyle name="Nota 2 14" xfId="777" xr:uid="{1584A38C-8CC4-4949-AC3F-2CB3E8F7FB8A}"/>
    <cellStyle name="Nota 2 2" xfId="35" xr:uid="{00000000-0005-0000-0000-00002C000000}"/>
    <cellStyle name="Nota 2 2 10" xfId="905" xr:uid="{59ECC92C-2883-4772-8370-0B4DBB6DC1FF}"/>
    <cellStyle name="Nota 2 2 10 2" xfId="3288" xr:uid="{B78406F1-20A4-4ABF-AD0E-5574A14FECD4}"/>
    <cellStyle name="Nota 2 2 10 3" xfId="3317" xr:uid="{0EE05EC0-C07F-426C-95D5-4939736A3308}"/>
    <cellStyle name="Nota 2 2 10 4" xfId="5919" xr:uid="{2912A969-BFDB-4107-9DA1-5AA4C2B14A8C}"/>
    <cellStyle name="Nota 2 2 11" xfId="782" xr:uid="{9232AD84-58E7-42C7-B34F-5959295D45A0}"/>
    <cellStyle name="Nota 2 2 2" xfId="49" xr:uid="{00000000-0005-0000-0000-00002D000000}"/>
    <cellStyle name="Nota 2 2 2 10" xfId="6233" xr:uid="{4059DFD7-E927-46A4-81AF-46A36F994473}"/>
    <cellStyle name="Nota 2 2 2 2" xfId="107" xr:uid="{B289790E-70BA-4EF5-BAEB-89DF64FEA8FD}"/>
    <cellStyle name="Nota 2 2 2 2 10" xfId="2255" xr:uid="{36D4DEA6-10B4-42CE-88A6-E27A71D74BF8}"/>
    <cellStyle name="Nota 2 2 2 2 10 2" xfId="4569" xr:uid="{04696B94-4B27-466C-A545-33D0C09B3594}"/>
    <cellStyle name="Nota 2 2 2 2 10 3" xfId="6591" xr:uid="{1D75EE11-AD33-48A8-85C0-63301316C981}"/>
    <cellStyle name="Nota 2 2 2 2 10 4" xfId="8114" xr:uid="{45B36744-5CAA-4DAA-879F-5216F2E6B70B}"/>
    <cellStyle name="Nota 2 2 2 2 11" xfId="857" xr:uid="{24F90B1C-17F9-4DDE-BB78-7438DFBEDAC0}"/>
    <cellStyle name="Nota 2 2 2 2 12" xfId="3246" xr:uid="{DC7AE4BD-3F9D-4479-8005-6A6A14984A87}"/>
    <cellStyle name="Nota 2 2 2 2 13" xfId="6841" xr:uid="{19468828-8240-42FE-A05E-F5499F6D16A5}"/>
    <cellStyle name="Nota 2 2 2 2 2" xfId="179" xr:uid="{5D48C1D1-8580-4C86-AA6D-823247A3702E}"/>
    <cellStyle name="Nota 2 2 2 2 2 2" xfId="316" xr:uid="{AE838B90-4829-4F40-A73A-CD653F29F7F9}"/>
    <cellStyle name="Nota 2 2 2 2 2 2 10" xfId="5627" xr:uid="{BAE4C260-7D6F-4160-BB86-3F19004068EF}"/>
    <cellStyle name="Nota 2 2 2 2 2 2 11" xfId="3469" xr:uid="{A49BA2D1-DA21-4EEB-AB39-20E18DA44C99}"/>
    <cellStyle name="Nota 2 2 2 2 2 2 2" xfId="675" xr:uid="{7E252270-EF32-446B-BADA-24D90996F8AD}"/>
    <cellStyle name="Nota 2 2 2 2 2 2 2 2" xfId="2133" xr:uid="{CA520A29-9AB3-4EBE-9167-62A3DAC9A97D}"/>
    <cellStyle name="Nota 2 2 2 2 2 2 2 2 2" xfId="4447" xr:uid="{1EBAE160-D17E-4E3B-8819-307D4B5F5717}"/>
    <cellStyle name="Nota 2 2 2 2 2 2 2 2 3" xfId="6473" xr:uid="{AF721927-DA3E-4B3D-8BF3-FC2DED2FCF20}"/>
    <cellStyle name="Nota 2 2 2 2 2 2 2 2 4" xfId="8041" xr:uid="{69F405CF-6611-4D9E-992C-88A7050342DB}"/>
    <cellStyle name="Nota 2 2 2 2 2 2 2 3" xfId="2585" xr:uid="{0D6946F3-EC89-4CAC-ACE5-7FDCDC0A81F5}"/>
    <cellStyle name="Nota 2 2 2 2 2 2 2 3 2" xfId="4899" xr:uid="{84ACD73A-DD9D-4326-BB4F-EF6BF2489481}"/>
    <cellStyle name="Nota 2 2 2 2 2 2 2 3 3" xfId="6896" xr:uid="{40A64E09-CDBA-40B3-B379-9951C66E9C6B}"/>
    <cellStyle name="Nota 2 2 2 2 2 2 2 3 4" xfId="8321" xr:uid="{1F33DAC4-4D50-4A0E-A97D-6ACB1830C8F6}"/>
    <cellStyle name="Nota 2 2 2 2 2 2 2 4" xfId="2967" xr:uid="{C9C6771B-1F4E-4166-99D3-20758EE01751}"/>
    <cellStyle name="Nota 2 2 2 2 2 2 2 4 2" xfId="5281" xr:uid="{62C64D10-3440-4447-B43A-2AC9140BEDC7}"/>
    <cellStyle name="Nota 2 2 2 2 2 2 2 4 3" xfId="7275" xr:uid="{424E7572-7902-41C1-BE77-54BD4BC9EC9E}"/>
    <cellStyle name="Nota 2 2 2 2 2 2 2 4 4" xfId="8556" xr:uid="{568DD67A-02BB-4C58-9BF9-89DC9959C951}"/>
    <cellStyle name="Nota 2 2 2 2 2 2 2 5" xfId="3168" xr:uid="{99D7FA3C-28E1-4BF2-A893-BF3C7BD6E20D}"/>
    <cellStyle name="Nota 2 2 2 2 2 2 2 5 2" xfId="5482" xr:uid="{13D3983B-D278-4421-BD8D-DCBA1E8CD8AE}"/>
    <cellStyle name="Nota 2 2 2 2 2 2 2 5 3" xfId="7476" xr:uid="{7BBB7E1E-5CA8-458D-B542-5F5CBF1A2271}"/>
    <cellStyle name="Nota 2 2 2 2 2 2 2 5 4" xfId="8720" xr:uid="{4479A12B-65FB-4E02-93AF-686FD75725AD}"/>
    <cellStyle name="Nota 2 2 2 2 2 2 2 6" xfId="1523" xr:uid="{57D390AD-05C3-47C1-AC33-7523C4EDF5BD}"/>
    <cellStyle name="Nota 2 2 2 2 2 2 2 7" xfId="3839" xr:uid="{3D54615D-1AFA-4032-91EA-D36171AFA64D}"/>
    <cellStyle name="Nota 2 2 2 2 2 2 2 8" xfId="5912" xr:uid="{3E5E985C-7DB9-49B2-A0A1-404DAC209127}"/>
    <cellStyle name="Nota 2 2 2 2 2 2 2 9" xfId="7670" xr:uid="{64525F6C-F0FF-4077-B744-FA97CB7A00DA}"/>
    <cellStyle name="Nota 2 2 2 2 2 2 3" xfId="747" xr:uid="{2D6A1461-8373-49C2-AB2B-E74E43002B08}"/>
    <cellStyle name="Nota 2 2 2 2 2 2 3 2" xfId="2205" xr:uid="{29252632-60AB-4BEE-B933-C3DC2422D2D8}"/>
    <cellStyle name="Nota 2 2 2 2 2 2 3 2 2" xfId="4519" xr:uid="{B6E354E9-778F-442D-9EAE-A62EC1A7CDC2}"/>
    <cellStyle name="Nota 2 2 2 2 2 2 3 2 3" xfId="6541" xr:uid="{4D766909-8C81-4C27-8FF3-710A692AAC41}"/>
    <cellStyle name="Nota 2 2 2 2 2 2 3 2 4" xfId="8083" xr:uid="{754D76E3-A932-46F4-B245-B6C37F311ECE}"/>
    <cellStyle name="Nota 2 2 2 2 2 2 3 3" xfId="2657" xr:uid="{2E7E411C-7F33-41A3-8507-0FE5AC1476FB}"/>
    <cellStyle name="Nota 2 2 2 2 2 2 3 3 2" xfId="4971" xr:uid="{98AEB503-5C2E-4DBF-95F0-106AFA350ADF}"/>
    <cellStyle name="Nota 2 2 2 2 2 2 3 3 3" xfId="6965" xr:uid="{63339075-3EEB-4C85-9043-974884943816}"/>
    <cellStyle name="Nota 2 2 2 2 2 2 3 3 4" xfId="8363" xr:uid="{76F89C98-A7D0-4577-A5F9-48C3EDE7F147}"/>
    <cellStyle name="Nota 2 2 2 2 2 2 3 4" xfId="3032" xr:uid="{47B1EF3F-5FBE-4C03-A335-6E3891D6C64F}"/>
    <cellStyle name="Nota 2 2 2 2 2 2 3 4 2" xfId="5346" xr:uid="{D89A1962-26C9-4689-A5A5-769C3BCA9E99}"/>
    <cellStyle name="Nota 2 2 2 2 2 2 3 4 3" xfId="7340" xr:uid="{D80C2B0F-D8C4-4070-81B5-5F7D6C69761A}"/>
    <cellStyle name="Nota 2 2 2 2 2 2 3 4 4" xfId="8591" xr:uid="{AC992DD2-A8E8-4CBB-991E-1076F4CEDE49}"/>
    <cellStyle name="Nota 2 2 2 2 2 2 3 5" xfId="3203" xr:uid="{1D953645-9A13-4280-BE47-94E5FC487873}"/>
    <cellStyle name="Nota 2 2 2 2 2 2 3 5 2" xfId="5517" xr:uid="{DB97CCF0-DBDB-4704-9A80-4F6D2E32D89D}"/>
    <cellStyle name="Nota 2 2 2 2 2 2 3 5 3" xfId="7511" xr:uid="{61E40A3D-2D8C-4F32-B4A8-DD5B4B4BCDE2}"/>
    <cellStyle name="Nota 2 2 2 2 2 2 3 5 4" xfId="8755" xr:uid="{0C368C2F-C3AF-4B7F-8C85-E5B13D9AC58A}"/>
    <cellStyle name="Nota 2 2 2 2 2 2 3 6" xfId="1595" xr:uid="{E576CC73-2E3D-4086-A260-B7563B0AB384}"/>
    <cellStyle name="Nota 2 2 2 2 2 2 3 7" xfId="3911" xr:uid="{F64E91D4-8A77-4FAC-B138-F50244617882}"/>
    <cellStyle name="Nota 2 2 2 2 2 2 3 8" xfId="5978" xr:uid="{1D0AAEFA-E753-4045-ABA7-F7C1CB34186A}"/>
    <cellStyle name="Nota 2 2 2 2 2 2 3 9" xfId="7712" xr:uid="{E08FA2B4-D47F-4068-8503-1825E487AE2C}"/>
    <cellStyle name="Nota 2 2 2 2 2 2 4" xfId="1806" xr:uid="{FCE2ED77-0FAE-4CA2-A3FD-E9E7F0188832}"/>
    <cellStyle name="Nota 2 2 2 2 2 2 4 2" xfId="4120" xr:uid="{0DA92315-7D6F-4976-90EF-5B1F1995FD19}"/>
    <cellStyle name="Nota 2 2 2 2 2 2 4 3" xfId="6169" xr:uid="{146BD6C0-24D1-4D80-BF99-2125501682C4}"/>
    <cellStyle name="Nota 2 2 2 2 2 2 4 4" xfId="7836" xr:uid="{19BF4D32-D747-460F-A77C-5994C671B449}"/>
    <cellStyle name="Nota 2 2 2 2 2 2 5" xfId="2263" xr:uid="{AE4C4626-9146-4246-9E2A-1B9DE22D3657}"/>
    <cellStyle name="Nota 2 2 2 2 2 2 5 2" xfId="4577" xr:uid="{B79154F5-FD1D-4B60-B5BE-3F4831144117}"/>
    <cellStyle name="Nota 2 2 2 2 2 2 5 3" xfId="6599" xr:uid="{B489DE83-63FD-43F4-AFF0-EAA2657D52AA}"/>
    <cellStyle name="Nota 2 2 2 2 2 2 5 4" xfId="8119" xr:uid="{2331A515-89B6-47F6-8C71-1391079F58FA}"/>
    <cellStyle name="Nota 2 2 2 2 2 2 6" xfId="2699" xr:uid="{7078FE7F-D0B8-4667-97AC-290978A4789C}"/>
    <cellStyle name="Nota 2 2 2 2 2 2 6 2" xfId="5013" xr:uid="{4AD9AAF8-4BCF-4382-AF7A-14972278E3AC}"/>
    <cellStyle name="Nota 2 2 2 2 2 2 6 3" xfId="7007" xr:uid="{15083914-0889-4424-B774-04B81F2CED28}"/>
    <cellStyle name="Nota 2 2 2 2 2 2 6 4" xfId="8398" xr:uid="{41661E01-D9C2-41BF-8CA3-5C506C512B3A}"/>
    <cellStyle name="Nota 2 2 2 2 2 2 7" xfId="2804" xr:uid="{245A0358-B887-4A4A-B227-56BCF4FF3CD5}"/>
    <cellStyle name="Nota 2 2 2 2 2 2 7 2" xfId="5118" xr:uid="{9115DCCC-EE37-4097-B15B-B12135594503}"/>
    <cellStyle name="Nota 2 2 2 2 2 2 7 3" xfId="7112" xr:uid="{B95E6188-ED70-46E4-8943-51E69029034B}"/>
    <cellStyle name="Nota 2 2 2 2 2 2 7 4" xfId="8459" xr:uid="{543E6A90-492F-4CA2-9193-BA54FD5677B7}"/>
    <cellStyle name="Nota 2 2 2 2 2 2 8" xfId="1164" xr:uid="{37E94E25-E61F-4B6B-A78A-DA62FE802651}"/>
    <cellStyle name="Nota 2 2 2 2 2 2 9" xfId="3506" xr:uid="{743A8E64-F993-48F2-B320-BED1B1A9B59A}"/>
    <cellStyle name="Nota 2 2 2 2 2 3" xfId="490" xr:uid="{7552E9D9-DEEC-4471-837A-D00DBA3C1402}"/>
    <cellStyle name="Nota 2 2 2 2 2 3 2" xfId="1953" xr:uid="{54602A0E-DBDE-4E93-834D-AFAF42810BB0}"/>
    <cellStyle name="Nota 2 2 2 2 2 3 2 2" xfId="4267" xr:uid="{B2E63FA8-8D2B-48E2-9BE0-BDE73CE50783}"/>
    <cellStyle name="Nota 2 2 2 2 2 3 2 3" xfId="6310" xr:uid="{75A7F4B3-21D8-4857-B23D-D66927C86A1A}"/>
    <cellStyle name="Nota 2 2 2 2 2 3 2 4" xfId="7925" xr:uid="{4F89F479-875E-4D3F-BCE1-9327DD0A45E4}"/>
    <cellStyle name="Nota 2 2 2 2 2 3 3" xfId="2406" xr:uid="{DDC17774-9490-4E6F-BD0A-295D3191CBC2}"/>
    <cellStyle name="Nota 2 2 2 2 2 3 3 2" xfId="4720" xr:uid="{34A53674-35D7-41EB-9D3A-7CF745878EBF}"/>
    <cellStyle name="Nota 2 2 2 2 2 3 3 3" xfId="6733" xr:uid="{E4464D5C-D711-47D3-8CB0-CB972F6C4C19}"/>
    <cellStyle name="Nota 2 2 2 2 2 3 3 4" xfId="8206" xr:uid="{F7F9F767-41B3-4152-87A7-435CA70DFF54}"/>
    <cellStyle name="Nota 2 2 2 2 2 3 4" xfId="2814" xr:uid="{C7365B13-CABD-4C9C-A39F-FCD0B686ABCC}"/>
    <cellStyle name="Nota 2 2 2 2 2 3 4 2" xfId="5128" xr:uid="{28B1F875-7637-4014-BBB8-9AC4A8DB4C90}"/>
    <cellStyle name="Nota 2 2 2 2 2 3 4 3" xfId="7122" xr:uid="{92DACAA9-24FF-4E46-8BFC-A1443DCDA28E}"/>
    <cellStyle name="Nota 2 2 2 2 2 3 4 4" xfId="8467" xr:uid="{336C2DC5-A2B4-4BA7-808F-3F3FE798DCA1}"/>
    <cellStyle name="Nota 2 2 2 2 2 3 5" xfId="3084" xr:uid="{6A8D5FA6-3993-4EFB-A5D7-A430136D28D5}"/>
    <cellStyle name="Nota 2 2 2 2 2 3 5 2" xfId="5398" xr:uid="{2AA06D21-1F42-43DA-A525-007F5E146618}"/>
    <cellStyle name="Nota 2 2 2 2 2 3 5 3" xfId="7392" xr:uid="{8F4EE413-BC7A-487E-9C6B-B06B97348F88}"/>
    <cellStyle name="Nota 2 2 2 2 2 3 5 4" xfId="8636" xr:uid="{0D82F51B-73C5-406A-B1EA-2C2BBF89010A}"/>
    <cellStyle name="Nota 2 2 2 2 2 3 6" xfId="1338" xr:uid="{3562D493-A9F6-4615-82B8-92ED150F80A2}"/>
    <cellStyle name="Nota 2 2 2 2 2 3 7" xfId="3657" xr:uid="{59703176-1F27-442D-A3CF-9B4D9E958608}"/>
    <cellStyle name="Nota 2 2 2 2 2 3 8" xfId="5751" xr:uid="{17318A46-3A81-4703-9C18-B7D647ABFD24}"/>
    <cellStyle name="Nota 2 2 2 2 2 3 9" xfId="7556" xr:uid="{0206ABAA-15C7-4FDB-9584-B9563F52BB99}"/>
    <cellStyle name="Nota 2 2 2 2 2 4" xfId="1881" xr:uid="{8A165EA6-5C22-42EA-8788-894FB7CB5CD3}"/>
    <cellStyle name="Nota 2 2 2 2 2 4 2" xfId="4195" xr:uid="{44259EB3-E6E2-4E28-B266-F865888381B1}"/>
    <cellStyle name="Nota 2 2 2 2 2 4 3" xfId="6241" xr:uid="{485D58C5-A48B-4BA1-BA04-580A6947E73B}"/>
    <cellStyle name="Nota 2 2 2 2 2 4 4" xfId="7877" xr:uid="{CBE9FA03-4A94-4AF8-A1B6-6520C5A9C4BD}"/>
    <cellStyle name="Nota 2 2 2 2 2 5" xfId="1027" xr:uid="{5EDDCBEF-C432-4DA6-9D04-5C2AB0520330}"/>
    <cellStyle name="Nota 2 2 2 2 2 6" xfId="3393" xr:uid="{20694305-26F2-4616-9363-982B2BF2DFA7}"/>
    <cellStyle name="Nota 2 2 2 2 2 7" xfId="5532" xr:uid="{289C1A5A-C9FB-48A7-959E-38A56851B7EC}"/>
    <cellStyle name="Nota 2 2 2 2 2 8" xfId="5550" xr:uid="{F884E780-E72D-4DD5-8429-95E44C29002B}"/>
    <cellStyle name="Nota 2 2 2 2 3" xfId="247" xr:uid="{32AF724A-BDF3-49C2-AD38-B1B22BAA9C66}"/>
    <cellStyle name="Nota 2 2 2 2 3 10" xfId="5575" xr:uid="{79953D18-6BEA-4437-8A5C-B248D5954B5B}"/>
    <cellStyle name="Nota 2 2 2 2 3 11" xfId="5678" xr:uid="{A575FC14-425D-448F-8187-276775F18AFF}"/>
    <cellStyle name="Nota 2 2 2 2 3 2" xfId="629" xr:uid="{F63FB6B2-7A47-422F-AD5B-E6505F3961A3}"/>
    <cellStyle name="Nota 2 2 2 2 3 2 2" xfId="2087" xr:uid="{740D8179-A2F5-43B3-982B-8AA636C0BBDE}"/>
    <cellStyle name="Nota 2 2 2 2 3 2 2 2" xfId="4401" xr:uid="{ECE27EB1-B8C1-4983-97B9-B3ADA5EACFDA}"/>
    <cellStyle name="Nota 2 2 2 2 3 2 2 3" xfId="6440" xr:uid="{0106824E-C01A-4176-B2A3-BD9172206D3F}"/>
    <cellStyle name="Nota 2 2 2 2 3 2 2 4" xfId="7998" xr:uid="{B86AA4BB-84F0-4CA4-9904-3DDB57CC691F}"/>
    <cellStyle name="Nota 2 2 2 2 3 2 3" xfId="2539" xr:uid="{8BA5AEBE-A1F4-4695-9F45-827F451AA781}"/>
    <cellStyle name="Nota 2 2 2 2 3 2 3 2" xfId="4853" xr:uid="{37239920-0343-4507-A4E5-821DC4173DE1}"/>
    <cellStyle name="Nota 2 2 2 2 3 2 3 3" xfId="6861" xr:uid="{99CA560E-AF49-49D2-BA61-DDF4F0E99FFD}"/>
    <cellStyle name="Nota 2 2 2 2 3 2 3 4" xfId="8278" xr:uid="{EF453495-73AC-4CDC-AB4A-1E4096AB15A6}"/>
    <cellStyle name="Nota 2 2 2 2 3 2 4" xfId="2938" xr:uid="{BF1C4FD0-92CD-4DDF-97FE-E67734107BD1}"/>
    <cellStyle name="Nota 2 2 2 2 3 2 4 2" xfId="5252" xr:uid="{894F6B17-AECD-4100-94B9-EBF6C8AD0789}"/>
    <cellStyle name="Nota 2 2 2 2 3 2 4 3" xfId="7246" xr:uid="{C31D9868-8E83-4474-AC53-46D624BFB51D}"/>
    <cellStyle name="Nota 2 2 2 2 3 2 4 4" xfId="8530" xr:uid="{BB1B6FCA-2E3D-4C72-8FB8-765E2356F444}"/>
    <cellStyle name="Nota 2 2 2 2 3 2 5" xfId="3144" xr:uid="{0E1B261A-F8B8-4FC3-93B0-7475B97F1277}"/>
    <cellStyle name="Nota 2 2 2 2 3 2 5 2" xfId="5458" xr:uid="{93F204F7-73F1-43A0-AF7B-A034F1E3FBA6}"/>
    <cellStyle name="Nota 2 2 2 2 3 2 5 3" xfId="7452" xr:uid="{ACBEE801-F011-46C5-8B59-1156C9BFFABC}"/>
    <cellStyle name="Nota 2 2 2 2 3 2 5 4" xfId="8696" xr:uid="{9DC174D7-E1EC-4E4D-8808-B2027B497B98}"/>
    <cellStyle name="Nota 2 2 2 2 3 2 6" xfId="1477" xr:uid="{F3389873-BE69-4A79-95D2-0D8193AF1D07}"/>
    <cellStyle name="Nota 2 2 2 2 3 2 7" xfId="3793" xr:uid="{5E039F5F-D02C-4A0E-8773-BB63C5595F09}"/>
    <cellStyle name="Nota 2 2 2 2 3 2 8" xfId="5879" xr:uid="{0B18280C-BBE2-4C1C-8BE0-7F83248CF8EF}"/>
    <cellStyle name="Nota 2 2 2 2 3 2 9" xfId="7627" xr:uid="{CBBA01E9-E711-43D8-A3A0-F06D9D752FEB}"/>
    <cellStyle name="Nota 2 2 2 2 3 3" xfId="705" xr:uid="{38E57369-AAE4-496C-A9F4-8DB094B0D629}"/>
    <cellStyle name="Nota 2 2 2 2 3 3 2" xfId="2163" xr:uid="{E82B025B-B130-48A0-9050-89194DDAF99B}"/>
    <cellStyle name="Nota 2 2 2 2 3 3 2 2" xfId="4477" xr:uid="{9BAC69BB-3940-4F4B-BBAE-81079777D165}"/>
    <cellStyle name="Nota 2 2 2 2 3 3 2 3" xfId="6499" xr:uid="{2241B5AA-B505-4CED-86F8-688F5D409B54}"/>
    <cellStyle name="Nota 2 2 2 2 3 3 2 4" xfId="8062" xr:uid="{E9EF9E9D-4759-434F-B1AA-DDE8CA308AAC}"/>
    <cellStyle name="Nota 2 2 2 2 3 3 3" xfId="2615" xr:uid="{10CFBD05-1DD4-4272-9A4A-79E706EB229E}"/>
    <cellStyle name="Nota 2 2 2 2 3 3 3 2" xfId="4929" xr:uid="{BF9CE672-4F76-415E-8C1B-3112557AD2BC}"/>
    <cellStyle name="Nota 2 2 2 2 3 3 3 3" xfId="6923" xr:uid="{1D2CAEBC-FA7E-495E-AF1B-4BA208513084}"/>
    <cellStyle name="Nota 2 2 2 2 3 3 3 4" xfId="8342" xr:uid="{8EC17F94-8A3D-4DC1-B74A-CDD46E1F53DC}"/>
    <cellStyle name="Nota 2 2 2 2 3 3 4" xfId="2990" xr:uid="{1DBE4FC6-6E4C-491F-A6A4-2E5D9E343438}"/>
    <cellStyle name="Nota 2 2 2 2 3 3 4 2" xfId="5304" xr:uid="{2AB507D0-A5C2-4A71-9284-931057466A23}"/>
    <cellStyle name="Nota 2 2 2 2 3 3 4 3" xfId="7298" xr:uid="{E434876B-246A-46DB-86DD-058522E3A997}"/>
    <cellStyle name="Nota 2 2 2 2 3 3 4 4" xfId="8570" xr:uid="{073DF386-5012-4095-8841-A1EEC14D0B47}"/>
    <cellStyle name="Nota 2 2 2 2 3 3 5" xfId="3182" xr:uid="{58F5B7A2-05A8-4914-9EAB-CB3E1366BC77}"/>
    <cellStyle name="Nota 2 2 2 2 3 3 5 2" xfId="5496" xr:uid="{A1ED39F9-2D26-46ED-8152-12E86C344415}"/>
    <cellStyle name="Nota 2 2 2 2 3 3 5 3" xfId="7490" xr:uid="{030E63C9-A401-4F05-96C6-E0B67A8B8EC3}"/>
    <cellStyle name="Nota 2 2 2 2 3 3 5 4" xfId="8734" xr:uid="{270D601D-BD86-46B3-BBDB-4947A243E8DE}"/>
    <cellStyle name="Nota 2 2 2 2 3 3 6" xfId="1553" xr:uid="{E32B9FC5-2377-4F62-8A53-1EB54FC2182E}"/>
    <cellStyle name="Nota 2 2 2 2 3 3 7" xfId="3869" xr:uid="{8707E3CA-E0A8-4F33-A52E-5F97B0A3416F}"/>
    <cellStyle name="Nota 2 2 2 2 3 3 8" xfId="5936" xr:uid="{376723DE-0E02-421C-9400-C1A292AF8503}"/>
    <cellStyle name="Nota 2 2 2 2 3 3 9" xfId="7691" xr:uid="{50F5E28E-F85C-4400-8489-D137004F7588}"/>
    <cellStyle name="Nota 2 2 2 2 3 4" xfId="1747" xr:uid="{5947ECF0-6DCB-46DD-82B6-C5F81DCF4A4A}"/>
    <cellStyle name="Nota 2 2 2 2 3 4 2" xfId="4061" xr:uid="{3659382F-CF08-45A8-854B-D583EE563FE6}"/>
    <cellStyle name="Nota 2 2 2 2 3 4 3" xfId="6113" xr:uid="{8ACEB63B-E726-4318-B968-DFECB8B7CEB7}"/>
    <cellStyle name="Nota 2 2 2 2 3 4 4" xfId="7801" xr:uid="{8A05A614-DEC7-4BE6-A128-E80CB4F4C175}"/>
    <cellStyle name="Nota 2 2 2 2 3 5" xfId="1667" xr:uid="{F806946F-18B7-4A85-BCCE-B1DFC536B43F}"/>
    <cellStyle name="Nota 2 2 2 2 3 5 2" xfId="3981" xr:uid="{FE3D5992-23C7-468D-82F4-F9E548AD8A98}"/>
    <cellStyle name="Nota 2 2 2 2 3 5 3" xfId="6037" xr:uid="{E7661394-C623-40BD-9678-89B16B1CE2FF}"/>
    <cellStyle name="Nota 2 2 2 2 3 5 4" xfId="7753" xr:uid="{3DB5D37D-AB8A-4E5B-ACF6-278E3CA71AB6}"/>
    <cellStyle name="Nota 2 2 2 2 3 6" xfId="2673" xr:uid="{72F655AF-1794-4F2C-8DD5-7E89AA4AAD3D}"/>
    <cellStyle name="Nota 2 2 2 2 3 6 2" xfId="4987" xr:uid="{46232AC6-5396-42C8-9866-96E8CDE9ECA3}"/>
    <cellStyle name="Nota 2 2 2 2 3 6 3" xfId="6981" xr:uid="{22C7CE12-23D3-4455-B4F5-F8D268482149}"/>
    <cellStyle name="Nota 2 2 2 2 3 6 4" xfId="8372" xr:uid="{FACF20DE-FCC5-4806-9678-9B9AC06B0CFE}"/>
    <cellStyle name="Nota 2 2 2 2 3 7" xfId="1816" xr:uid="{52CCE18A-C91C-4478-A637-560A8F9D84F3}"/>
    <cellStyle name="Nota 2 2 2 2 3 7 2" xfId="4130" xr:uid="{1F73C775-1BA3-4884-B2B7-367D9548056B}"/>
    <cellStyle name="Nota 2 2 2 2 3 7 3" xfId="6179" xr:uid="{96747E36-C4F1-4C7F-B43B-01E44D8C8DFD}"/>
    <cellStyle name="Nota 2 2 2 2 3 7 4" xfId="7843" xr:uid="{C87EF004-9E6B-4CAA-8385-EE878B3905B7}"/>
    <cellStyle name="Nota 2 2 2 2 3 8" xfId="1095" xr:uid="{B14EAF9F-A85E-4DE5-9E4A-623BE5B760C2}"/>
    <cellStyle name="Nota 2 2 2 2 3 9" xfId="3450" xr:uid="{FABD6BA6-1BF5-45D1-A1BD-4B1C7A6578E8}"/>
    <cellStyle name="Nota 2 2 2 2 4" xfId="419" xr:uid="{9681B397-75CF-4D5E-A126-FF4223501332}"/>
    <cellStyle name="Nota 2 2 2 2 4 2" xfId="1895" xr:uid="{A960932A-B666-4D0D-A2D8-A33A619E195A}"/>
    <cellStyle name="Nota 2 2 2 2 4 2 2" xfId="4209" xr:uid="{35B65CE1-2D41-481D-B4ED-A44967669C54}"/>
    <cellStyle name="Nota 2 2 2 2 4 2 3" xfId="6255" xr:uid="{BA269BE0-FF1E-4171-AFF0-4EB832BAA4EC}"/>
    <cellStyle name="Nota 2 2 2 2 4 2 4" xfId="7887" xr:uid="{A3FBCA0A-F2E7-4E55-8BCF-1E11450CB0A4}"/>
    <cellStyle name="Nota 2 2 2 2 4 3" xfId="2352" xr:uid="{16D0C1C2-4A46-4989-914F-BD5CFCF4C25F}"/>
    <cellStyle name="Nota 2 2 2 2 4 3 2" xfId="4666" xr:uid="{DE3FFA37-77AF-4CF1-8CA4-3D4078E26F7F}"/>
    <cellStyle name="Nota 2 2 2 2 4 3 3" xfId="6680" xr:uid="{D726C631-3549-411E-9F87-0C453155F528}"/>
    <cellStyle name="Nota 2 2 2 2 4 3 4" xfId="8169" xr:uid="{929A0553-73E7-4EC1-8D1A-D1B5CF1C368E}"/>
    <cellStyle name="Nota 2 2 2 2 4 4" xfId="2766" xr:uid="{FE939307-8DE6-446F-9BF8-86AEA3C3ADDE}"/>
    <cellStyle name="Nota 2 2 2 2 4 4 2" xfId="5080" xr:uid="{92FC587B-9B29-494E-8786-7E8C0CE0A670}"/>
    <cellStyle name="Nota 2 2 2 2 4 4 3" xfId="7074" xr:uid="{B15EE586-3CBE-4E96-BCE2-301C55A7BA19}"/>
    <cellStyle name="Nota 2 2 2 2 4 4 4" xfId="8436" xr:uid="{2FCB1DB8-216A-4236-9C16-21A7055E804B}"/>
    <cellStyle name="Nota 2 2 2 2 4 5" xfId="3061" xr:uid="{7689177B-763A-49E0-B085-9EB3BB162806}"/>
    <cellStyle name="Nota 2 2 2 2 4 5 2" xfId="5375" xr:uid="{E0F575E5-FC9A-40B3-B086-2B90A6988615}"/>
    <cellStyle name="Nota 2 2 2 2 4 5 3" xfId="7369" xr:uid="{A4684643-B569-4AA1-85F9-85FD43458F1E}"/>
    <cellStyle name="Nota 2 2 2 2 4 5 4" xfId="8613" xr:uid="{D92046DD-876D-455C-A1EC-2C28E31C5693}"/>
    <cellStyle name="Nota 2 2 2 2 4 6" xfId="1267" xr:uid="{7F487D39-0C55-45DD-A90F-38CC4DB1751F}"/>
    <cellStyle name="Nota 2 2 2 2 4 7" xfId="3595" xr:uid="{D5F95879-B885-44EA-9FC4-AA82C404EC7E}"/>
    <cellStyle name="Nota 2 2 2 2 4 8" xfId="5701" xr:uid="{519BA141-4447-449D-BE67-0BF43969C598}"/>
    <cellStyle name="Nota 2 2 2 2 4 9" xfId="7529" xr:uid="{3ECFC2B6-CD9C-44EB-8F7F-E292D37E7772}"/>
    <cellStyle name="Nota 2 2 2 2 5" xfId="563" xr:uid="{6C454054-0CF2-4563-B48B-A986F6CBB96B}"/>
    <cellStyle name="Nota 2 2 2 2 5 2" xfId="2021" xr:uid="{9A443442-06C4-4227-AD87-86C6C00B6F15}"/>
    <cellStyle name="Nota 2 2 2 2 5 2 2" xfId="4335" xr:uid="{0AF32FEB-D8CF-46D3-A687-149708BBB201}"/>
    <cellStyle name="Nota 2 2 2 2 5 2 3" xfId="6376" xr:uid="{14F0EA98-D9EF-4DF8-BF78-A940CD7FCADB}"/>
    <cellStyle name="Nota 2 2 2 2 5 2 4" xfId="7954" xr:uid="{EE5C87FD-264D-48E3-A84F-D8144D753C65}"/>
    <cellStyle name="Nota 2 2 2 2 5 3" xfId="2473" xr:uid="{4D9D8A4B-9287-4F33-98DF-3C6F48A411A9}"/>
    <cellStyle name="Nota 2 2 2 2 5 3 2" xfId="4787" xr:uid="{A4FC5F21-B372-4A41-A805-7B082AD85F90}"/>
    <cellStyle name="Nota 2 2 2 2 5 3 3" xfId="6797" xr:uid="{0A0CC4B8-DABE-494A-9C68-DF4136F44A0A}"/>
    <cellStyle name="Nota 2 2 2 2 5 3 4" xfId="8234" xr:uid="{957991BD-8B8F-4F71-A2E4-EC2720E54264}"/>
    <cellStyle name="Nota 2 2 2 2 5 4" xfId="2878" xr:uid="{C01C3CE8-54D5-4863-815A-0F875D627137}"/>
    <cellStyle name="Nota 2 2 2 2 5 4 2" xfId="5192" xr:uid="{C0EDA1E9-2252-4E75-9870-6A2DEAD474DF}"/>
    <cellStyle name="Nota 2 2 2 2 5 4 3" xfId="7186" xr:uid="{77D7DF75-FEC0-4CE7-9352-D97E47B7FCCB}"/>
    <cellStyle name="Nota 2 2 2 2 5 4 4" xfId="8492" xr:uid="{56DB7E1F-D343-4F17-9D2B-E7C8F34D378B}"/>
    <cellStyle name="Nota 2 2 2 2 5 5" xfId="3106" xr:uid="{4D6752AF-BB4E-47BD-9DF4-CFD190A153A6}"/>
    <cellStyle name="Nota 2 2 2 2 5 5 2" xfId="5420" xr:uid="{83E1C58C-7C01-40F0-A7F9-B0C66FDEF76E}"/>
    <cellStyle name="Nota 2 2 2 2 5 5 3" xfId="7414" xr:uid="{D862005F-3065-4A9F-A30A-A73BECF3DAAD}"/>
    <cellStyle name="Nota 2 2 2 2 5 5 4" xfId="8658" xr:uid="{7C85AD87-FAE7-4023-B21F-048F3FE3C054}"/>
    <cellStyle name="Nota 2 2 2 2 5 6" xfId="1411" xr:uid="{4D72F272-0E2A-4DC1-9751-B5356BC52B28}"/>
    <cellStyle name="Nota 2 2 2 2 5 7" xfId="3727" xr:uid="{84EE12AA-956E-4B31-B411-F4F464F6BF8C}"/>
    <cellStyle name="Nota 2 2 2 2 5 8" xfId="5817" xr:uid="{330D880F-6D6D-4679-8805-54E0EED26139}"/>
    <cellStyle name="Nota 2 2 2 2 5 9" xfId="7583" xr:uid="{AD7FE5E8-F579-4BC3-AB32-21CBAFA7EAA2}"/>
    <cellStyle name="Nota 2 2 2 2 6" xfId="600" xr:uid="{636CE60A-3C2A-4844-AC38-8D47ABCFC89D}"/>
    <cellStyle name="Nota 2 2 2 2 6 2" xfId="2058" xr:uid="{22AD1E22-C36A-4837-837C-4189F272ED5B}"/>
    <cellStyle name="Nota 2 2 2 2 6 2 2" xfId="4372" xr:uid="{69C6E3DC-D36C-4CAD-A721-51B3BA4F95FF}"/>
    <cellStyle name="Nota 2 2 2 2 6 2 3" xfId="6413" xr:uid="{50B88879-2A92-4E16-BCB9-EE540E0C462E}"/>
    <cellStyle name="Nota 2 2 2 2 6 2 4" xfId="7974" xr:uid="{CDDB329F-FCDE-40DC-BD78-53E0A555C899}"/>
    <cellStyle name="Nota 2 2 2 2 6 3" xfId="2510" xr:uid="{EF7C8E54-91E0-4E50-8701-960AB66520F3}"/>
    <cellStyle name="Nota 2 2 2 2 6 3 2" xfId="4824" xr:uid="{172A5484-5E41-4878-A06A-458A041EFA97}"/>
    <cellStyle name="Nota 2 2 2 2 6 3 3" xfId="6834" xr:uid="{D4296939-89BD-4241-B153-13A018056515}"/>
    <cellStyle name="Nota 2 2 2 2 6 3 4" xfId="8254" xr:uid="{97D94F2E-20D1-4DDC-90CF-12CA65D9B7BF}"/>
    <cellStyle name="Nota 2 2 2 2 6 4" xfId="2915" xr:uid="{215858AE-2504-4F92-B2BB-A74939060E03}"/>
    <cellStyle name="Nota 2 2 2 2 6 4 2" xfId="5229" xr:uid="{93449C7D-05B4-44A2-B8B0-EBE514C747AD}"/>
    <cellStyle name="Nota 2 2 2 2 6 4 3" xfId="7223" xr:uid="{1CD25296-169B-4E38-AB74-8E881876EB97}"/>
    <cellStyle name="Nota 2 2 2 2 6 4 4" xfId="8512" xr:uid="{F582B3FB-8D12-426B-A17C-62866E7351F1}"/>
    <cellStyle name="Nota 2 2 2 2 6 5" xfId="3126" xr:uid="{58376B0B-189F-47C1-A38B-CD158EC5D9F1}"/>
    <cellStyle name="Nota 2 2 2 2 6 5 2" xfId="5440" xr:uid="{2B32C7B6-E11F-42AA-952A-862E948F54EF}"/>
    <cellStyle name="Nota 2 2 2 2 6 5 3" xfId="7434" xr:uid="{63355145-CC1F-475B-9C5E-C6036030C32D}"/>
    <cellStyle name="Nota 2 2 2 2 6 5 4" xfId="8678" xr:uid="{6AC0C622-3558-4702-B09D-BD242F97340C}"/>
    <cellStyle name="Nota 2 2 2 2 6 6" xfId="1448" xr:uid="{5F21C82C-7A29-4204-8D4E-4775F458D602}"/>
    <cellStyle name="Nota 2 2 2 2 6 7" xfId="3764" xr:uid="{84825888-2DB8-4339-BBC5-F7FCAC621D43}"/>
    <cellStyle name="Nota 2 2 2 2 6 8" xfId="5854" xr:uid="{12961161-07FD-41AA-90C0-62E91378738D}"/>
    <cellStyle name="Nota 2 2 2 2 6 9" xfId="7603" xr:uid="{912DFF43-D493-479B-B7C8-94A232A60F90}"/>
    <cellStyle name="Nota 2 2 2 2 7" xfId="957" xr:uid="{B77DF83C-DE06-4C84-B864-E238714E7665}"/>
    <cellStyle name="Nota 2 2 2 2 7 2" xfId="3335" xr:uid="{D27F3930-2A22-45F0-9912-AC603F4DE773}"/>
    <cellStyle name="Nota 2 2 2 2 7 3" xfId="3470" xr:uid="{48D09425-2D3B-49AB-BB3E-701BDC44D2CC}"/>
    <cellStyle name="Nota 2 2 2 2 7 4" xfId="6885" xr:uid="{742C326D-8F7B-4830-9302-E23FAA58E536}"/>
    <cellStyle name="Nota 2 2 2 2 8" xfId="1647" xr:uid="{5A066DA2-9EC4-43CB-85FB-4BB691496151}"/>
    <cellStyle name="Nota 2 2 2 2 8 2" xfId="3961" xr:uid="{77A102CE-3C40-43B0-8391-60C40C06DDCF}"/>
    <cellStyle name="Nota 2 2 2 2 8 3" xfId="6019" xr:uid="{34A2C450-D1E1-4C88-A05F-4F7129D2F050}"/>
    <cellStyle name="Nota 2 2 2 2 8 4" xfId="7741" xr:uid="{4BB63430-0422-489B-B895-464F93A58B39}"/>
    <cellStyle name="Nota 2 2 2 2 9" xfId="1947" xr:uid="{228475CF-63C7-4482-A608-70D6863E61E1}"/>
    <cellStyle name="Nota 2 2 2 2 9 2" xfId="4261" xr:uid="{C4639073-A522-4EAC-97D2-10E8B2618FAC}"/>
    <cellStyle name="Nota 2 2 2 2 9 3" xfId="6305" xr:uid="{B01E2A5A-7836-48C2-8AAE-3B0B98105959}"/>
    <cellStyle name="Nota 2 2 2 2 9 4" xfId="7921" xr:uid="{9C06D5BC-A48A-4CDA-8088-5BF45FC58916}"/>
    <cellStyle name="Nota 2 2 2 3" xfId="145" xr:uid="{66CFF690-1899-4F0E-8FC3-224E5E03B70C}"/>
    <cellStyle name="Nota 2 2 2 3 10" xfId="3367" xr:uid="{01FA33A1-D0B3-42DD-AC78-BC27E6235693}"/>
    <cellStyle name="Nota 2 2 2 3 11" xfId="3584" xr:uid="{26DC847C-6543-45C0-8619-6375858FE8DF}"/>
    <cellStyle name="Nota 2 2 2 3 12" xfId="3431" xr:uid="{E8740E1D-3A25-44C4-AA15-DFB4DE550960}"/>
    <cellStyle name="Nota 2 2 2 3 2" xfId="283" xr:uid="{19AFBE13-A80B-4694-A79D-C9190B0ACA11}"/>
    <cellStyle name="Nota 2 2 2 3 2 10" xfId="5602" xr:uid="{888DEC2A-1AF4-4204-9DDC-010FBFECE7CB}"/>
    <cellStyle name="Nota 2 2 2 3 2 11" xfId="5997" xr:uid="{925059D6-B260-4037-A2C8-5B5A571D98D1}"/>
    <cellStyle name="Nota 2 2 2 3 2 2" xfId="653" xr:uid="{233E4E0C-55D2-4BAC-9A3E-3922544DDBBA}"/>
    <cellStyle name="Nota 2 2 2 3 2 2 2" xfId="2111" xr:uid="{C9D76335-09E9-447C-8338-872D412A2F7E}"/>
    <cellStyle name="Nota 2 2 2 3 2 2 2 2" xfId="4425" xr:uid="{0D0FA74F-1F89-429C-B031-F508CF650D5C}"/>
    <cellStyle name="Nota 2 2 2 3 2 2 2 3" xfId="6456" xr:uid="{26D1A131-2FB0-4371-A418-CDAE62D0130B}"/>
    <cellStyle name="Nota 2 2 2 3 2 2 2 4" xfId="8020" xr:uid="{E0445F0C-8FA9-4FFE-AB94-25064D669BE8}"/>
    <cellStyle name="Nota 2 2 2 3 2 2 3" xfId="2563" xr:uid="{E53E4F03-1645-4468-A34D-2952BC293D47}"/>
    <cellStyle name="Nota 2 2 2 3 2 2 3 2" xfId="4877" xr:uid="{1A9F0D76-4E56-4E8E-84EC-DCFD0212AEDC}"/>
    <cellStyle name="Nota 2 2 2 3 2 2 3 3" xfId="6877" xr:uid="{FF8D18B6-98A6-463A-88E8-25FE1A1CF9F3}"/>
    <cellStyle name="Nota 2 2 2 3 2 2 3 4" xfId="8300" xr:uid="{30C665CB-6B1E-43BD-B4E8-EA0DB12FCD74}"/>
    <cellStyle name="Nota 2 2 2 3 2 2 4" xfId="2953" xr:uid="{8AB85BFF-1BE0-4590-893C-BBE7EE5E38FB}"/>
    <cellStyle name="Nota 2 2 2 3 2 2 4 2" xfId="5267" xr:uid="{141E1B24-18DD-439E-BA64-F1D2BB38F6EC}"/>
    <cellStyle name="Nota 2 2 2 3 2 2 4 3" xfId="7261" xr:uid="{7B4D1362-6D40-403C-B10D-8F67EE193FB5}"/>
    <cellStyle name="Nota 2 2 2 3 2 2 4 4" xfId="8543" xr:uid="{1964C6D7-D079-4D0B-B6D3-831890F2EEDF}"/>
    <cellStyle name="Nota 2 2 2 3 2 2 5" xfId="3156" xr:uid="{84ADFF24-5AF4-49F9-A7F5-3889B4DBFA38}"/>
    <cellStyle name="Nota 2 2 2 3 2 2 5 2" xfId="5470" xr:uid="{99BED005-7609-4C11-8F88-482496E3FEB3}"/>
    <cellStyle name="Nota 2 2 2 3 2 2 5 3" xfId="7464" xr:uid="{DFE88A74-640A-4CBF-BF29-E18EDF80419B}"/>
    <cellStyle name="Nota 2 2 2 3 2 2 5 4" xfId="8708" xr:uid="{5186E901-9448-4063-A008-24623C6A572E}"/>
    <cellStyle name="Nota 2 2 2 3 2 2 6" xfId="1501" xr:uid="{AF528955-93AD-424F-BB38-85408484C6D3}"/>
    <cellStyle name="Nota 2 2 2 3 2 2 7" xfId="3817" xr:uid="{D99F024F-B00B-4B5C-8651-096CD3EFB9C2}"/>
    <cellStyle name="Nota 2 2 2 3 2 2 8" xfId="5895" xr:uid="{9FE1B0E9-1078-40AA-933A-4FE56FEDCE7B}"/>
    <cellStyle name="Nota 2 2 2 3 2 2 9" xfId="7649" xr:uid="{CD91EC89-958A-4221-9919-98861E5C932C}"/>
    <cellStyle name="Nota 2 2 2 3 2 3" xfId="728" xr:uid="{F0E0F89C-1163-4204-8D1E-3F98F3EBDE7A}"/>
    <cellStyle name="Nota 2 2 2 3 2 3 2" xfId="2186" xr:uid="{D48DDB07-018B-40F6-BCDF-43CB565CA4AC}"/>
    <cellStyle name="Nota 2 2 2 3 2 3 2 2" xfId="4500" xr:uid="{706BFA54-10E8-4A5E-831E-551AE228817A}"/>
    <cellStyle name="Nota 2 2 2 3 2 3 2 3" xfId="6522" xr:uid="{C6DEB142-A8E5-43B6-A5EA-7E88331F178E}"/>
    <cellStyle name="Nota 2 2 2 3 2 3 2 4" xfId="8073" xr:uid="{34440924-8D97-4F50-A689-1466FA3041D4}"/>
    <cellStyle name="Nota 2 2 2 3 2 3 3" xfId="2638" xr:uid="{B999E59E-13B2-4E3A-9D86-3E5145817D56}"/>
    <cellStyle name="Nota 2 2 2 3 2 3 3 2" xfId="4952" xr:uid="{8DA904C9-597C-4BFD-AE2A-E2075AD0C886}"/>
    <cellStyle name="Nota 2 2 2 3 2 3 3 3" xfId="6946" xr:uid="{DA52B141-8663-4592-A82C-7E89C90669FC}"/>
    <cellStyle name="Nota 2 2 2 3 2 3 3 4" xfId="8353" xr:uid="{1E0C386F-AB8E-4D0A-A474-BB43B4B65076}"/>
    <cellStyle name="Nota 2 2 2 3 2 3 4" xfId="3013" xr:uid="{E1D2FFF0-2D66-4E42-8799-1AE3B92D6421}"/>
    <cellStyle name="Nota 2 2 2 3 2 3 4 2" xfId="5327" xr:uid="{D9829AF0-E194-4388-B3E6-55E5E47DC94E}"/>
    <cellStyle name="Nota 2 2 2 3 2 3 4 3" xfId="7321" xr:uid="{D46E5426-54E1-4949-8D69-45BA848A3ED3}"/>
    <cellStyle name="Nota 2 2 2 3 2 3 4 4" xfId="8581" xr:uid="{0A62AE80-9673-4026-996A-0462DF6803DB}"/>
    <cellStyle name="Nota 2 2 2 3 2 3 5" xfId="3193" xr:uid="{355D874D-8BFB-47D8-A221-D2538ABBE4E8}"/>
    <cellStyle name="Nota 2 2 2 3 2 3 5 2" xfId="5507" xr:uid="{2C7B24D1-F3B1-4ADB-8B59-0F0DC9370FC9}"/>
    <cellStyle name="Nota 2 2 2 3 2 3 5 3" xfId="7501" xr:uid="{DF7E7D41-6D7C-473E-A15D-6E5FAF6C3045}"/>
    <cellStyle name="Nota 2 2 2 3 2 3 5 4" xfId="8745" xr:uid="{FC4881FD-C15A-442D-82E5-A89C9445CF91}"/>
    <cellStyle name="Nota 2 2 2 3 2 3 6" xfId="1576" xr:uid="{F3AEA380-BE1B-4DE0-8999-37FAE6B31A09}"/>
    <cellStyle name="Nota 2 2 2 3 2 3 7" xfId="3892" xr:uid="{0DDD2D03-A3E9-46C0-9D68-C817528C80BE}"/>
    <cellStyle name="Nota 2 2 2 3 2 3 8" xfId="5959" xr:uid="{E37EC3A7-AAB8-4990-AC5A-ACD348993C23}"/>
    <cellStyle name="Nota 2 2 2 3 2 3 9" xfId="7702" xr:uid="{AE98EF99-65A6-4453-9739-2619B98A4E8B}"/>
    <cellStyle name="Nota 2 2 2 3 2 4" xfId="1777" xr:uid="{18329404-369D-4CF2-9A54-718CEF0A41F2}"/>
    <cellStyle name="Nota 2 2 2 3 2 4 2" xfId="4091" xr:uid="{A20AAE60-53BD-4C33-8ED6-A30A4C4B9C5F}"/>
    <cellStyle name="Nota 2 2 2 3 2 4 3" xfId="6140" xr:uid="{113267E0-DA9D-45DD-A50A-FD70348F3BA7}"/>
    <cellStyle name="Nota 2 2 2 3 2 4 4" xfId="7819" xr:uid="{4AEEA3C4-EFA8-4B4C-A9C2-9DFF02EBBA23}"/>
    <cellStyle name="Nota 2 2 2 3 2 5" xfId="2237" xr:uid="{3215A0AB-6695-4BA2-889F-129E838C476D}"/>
    <cellStyle name="Nota 2 2 2 3 2 5 2" xfId="4551" xr:uid="{C0E108B3-F26D-47B9-9525-EF8F1E882A2A}"/>
    <cellStyle name="Nota 2 2 2 3 2 5 3" xfId="6573" xr:uid="{5EE1D323-3E04-4E57-B52D-3733A61BCC99}"/>
    <cellStyle name="Nota 2 2 2 3 2 5 4" xfId="8102" xr:uid="{F5A5DBB2-DAAE-4E3A-9389-C11A267E740F}"/>
    <cellStyle name="Nota 2 2 2 3 2 6" xfId="2681" xr:uid="{C5743ABB-1D76-464D-87F8-6F8630A4A35D}"/>
    <cellStyle name="Nota 2 2 2 3 2 6 2" xfId="4995" xr:uid="{AFD53193-0475-4200-9AA9-A6F24FB4B173}"/>
    <cellStyle name="Nota 2 2 2 3 2 6 3" xfId="6989" xr:uid="{365F726A-871D-4AC6-AEFD-9C987B23866B}"/>
    <cellStyle name="Nota 2 2 2 3 2 6 4" xfId="8380" xr:uid="{3E91BD5B-12F1-44DE-AE55-2B8411CABF81}"/>
    <cellStyle name="Nota 2 2 2 3 2 7" xfId="890" xr:uid="{FF307B3B-0CCD-4D74-A1A3-E403B6E3C0DA}"/>
    <cellStyle name="Nota 2 2 2 3 2 7 2" xfId="3274" xr:uid="{E7A4C161-B118-4221-BC14-4D17EA788C78}"/>
    <cellStyle name="Nota 2 2 2 3 2 7 3" xfId="3644" xr:uid="{990C260F-83B1-4DCB-959C-B19F5E3FEFD7}"/>
    <cellStyle name="Nota 2 2 2 3 2 7 4" xfId="6061" xr:uid="{9D0C4870-2A7A-4F7D-8E38-D06AD6DA78F6}"/>
    <cellStyle name="Nota 2 2 2 3 2 8" xfId="1131" xr:uid="{72D93DDB-5243-446D-9FA0-89F38CF06D39}"/>
    <cellStyle name="Nota 2 2 2 3 2 9" xfId="3482" xr:uid="{4DBA0356-A2BF-4C2A-ABAA-8B0A5B210598}"/>
    <cellStyle name="Nota 2 2 2 3 3" xfId="456" xr:uid="{27681FF4-0E58-4B12-9093-B352DF1D773D}"/>
    <cellStyle name="Nota 2 2 2 3 3 2" xfId="1925" xr:uid="{71372D38-67BE-47B3-9FB0-5934109A43BC}"/>
    <cellStyle name="Nota 2 2 2 3 3 2 2" xfId="4239" xr:uid="{B72EB138-3CF6-4A12-86E1-0EB197B5F0EB}"/>
    <cellStyle name="Nota 2 2 2 3 3 2 3" xfId="6284" xr:uid="{0927C8C8-07C2-49F7-9BEF-393ABBE3AA34}"/>
    <cellStyle name="Nota 2 2 2 3 3 2 4" xfId="7906" xr:uid="{123E85F8-628B-4F40-8D56-8115AF40F7FA}"/>
    <cellStyle name="Nota 2 2 2 3 3 3" xfId="2380" xr:uid="{E170CD1B-8EF0-4B8B-A646-0E11F75563DA}"/>
    <cellStyle name="Nota 2 2 2 3 3 3 2" xfId="4694" xr:uid="{B1ACD637-169A-4EED-AE6F-C01B4C8FA489}"/>
    <cellStyle name="Nota 2 2 2 3 3 3 3" xfId="6707" xr:uid="{99903A9C-F37B-40AA-B6B4-D9140D0D119C}"/>
    <cellStyle name="Nota 2 2 2 3 3 3 4" xfId="8187" xr:uid="{274D3F8F-F3BD-4421-A649-FDDE2673A8B0}"/>
    <cellStyle name="Nota 2 2 2 3 3 4" xfId="2791" xr:uid="{AA7AD07B-6361-4F88-86D3-A7215505C359}"/>
    <cellStyle name="Nota 2 2 2 3 3 4 2" xfId="5105" xr:uid="{7FB1D80C-2659-491F-88DB-0E265E98B4E8}"/>
    <cellStyle name="Nota 2 2 2 3 3 4 3" xfId="7099" xr:uid="{84A7D73A-88F0-49EC-8252-4A0D5FF9B281}"/>
    <cellStyle name="Nota 2 2 2 3 3 4 4" xfId="8451" xr:uid="{8D0D1861-66EF-4551-9DB4-F22531034CF8}"/>
    <cellStyle name="Nota 2 2 2 3 3 5" xfId="3073" xr:uid="{2ECE173F-2E7B-4CEF-9B00-A60D9F078D93}"/>
    <cellStyle name="Nota 2 2 2 3 3 5 2" xfId="5387" xr:uid="{AAF8EC57-2368-4283-A359-9A996F142CE2}"/>
    <cellStyle name="Nota 2 2 2 3 3 5 3" xfId="7381" xr:uid="{2E47A509-DB96-435A-9105-D69894DC0DF3}"/>
    <cellStyle name="Nota 2 2 2 3 3 5 4" xfId="8625" xr:uid="{E9747B0C-D67F-42CC-A289-1365B0D12FDF}"/>
    <cellStyle name="Nota 2 2 2 3 3 6" xfId="1304" xr:uid="{4883BB01-ADE3-4DD8-9416-763D547C4DE6}"/>
    <cellStyle name="Nota 2 2 2 3 3 7" xfId="3629" xr:uid="{8B92C48E-1A37-49D3-BBD2-20B3522D5796}"/>
    <cellStyle name="Nota 2 2 2 3 3 8" xfId="5728" xr:uid="{C077187E-DB4E-4F3E-AC2F-299ED76B46BB}"/>
    <cellStyle name="Nota 2 2 2 3 3 9" xfId="7543" xr:uid="{CC57F4BA-B111-40EB-8F6E-5ADE79C5D9AC}"/>
    <cellStyle name="Nota 2 2 2 3 4" xfId="588" xr:uid="{04C8BFD4-A536-4233-9F18-6B7E121F0D77}"/>
    <cellStyle name="Nota 2 2 2 3 4 2" xfId="2046" xr:uid="{0A0657D8-41EB-48F8-9BC5-ECA371B82483}"/>
    <cellStyle name="Nota 2 2 2 3 4 2 2" xfId="4360" xr:uid="{4492A832-EF1E-4C41-AA9F-A2DFBF20A8E7}"/>
    <cellStyle name="Nota 2 2 2 3 4 2 3" xfId="6401" xr:uid="{39EBEDB2-5329-454E-AA1A-B639CE85F15F}"/>
    <cellStyle name="Nota 2 2 2 3 4 2 4" xfId="7968" xr:uid="{AD7496DF-FB61-4EAF-9473-96D009DF2505}"/>
    <cellStyle name="Nota 2 2 2 3 4 3" xfId="2498" xr:uid="{700C8919-157D-44EC-8A96-F9592A80F947}"/>
    <cellStyle name="Nota 2 2 2 3 4 3 2" xfId="4812" xr:uid="{CCF67E7C-79ED-4102-BE06-29DA600A26F1}"/>
    <cellStyle name="Nota 2 2 2 3 4 3 3" xfId="6822" xr:uid="{54F77E1B-B7A8-4BDE-9860-4ECD53AD01E1}"/>
    <cellStyle name="Nota 2 2 2 3 4 3 4" xfId="8248" xr:uid="{FFB8D12E-DBCB-4ADC-8241-DA1929726504}"/>
    <cellStyle name="Nota 2 2 2 3 4 4" xfId="2903" xr:uid="{4F5F68E7-3415-4B28-AC4B-2CCAEF325334}"/>
    <cellStyle name="Nota 2 2 2 3 4 4 2" xfId="5217" xr:uid="{6D74CA11-4A58-4EBF-8A69-E50791E4843A}"/>
    <cellStyle name="Nota 2 2 2 3 4 4 3" xfId="7211" xr:uid="{2D287E69-4AD7-4D22-90F3-D89CE68A7F77}"/>
    <cellStyle name="Nota 2 2 2 3 4 4 4" xfId="8506" xr:uid="{935622B1-7023-4855-A935-596F12BAB3A6}"/>
    <cellStyle name="Nota 2 2 2 3 4 5" xfId="3120" xr:uid="{3A873AF6-1785-4645-9742-37C306AED672}"/>
    <cellStyle name="Nota 2 2 2 3 4 5 2" xfId="5434" xr:uid="{F3896DF2-4DC2-4E4B-862F-C33DC2F9B60E}"/>
    <cellStyle name="Nota 2 2 2 3 4 5 3" xfId="7428" xr:uid="{D490A2CD-AC23-4AE0-A6A7-EDD78F21B913}"/>
    <cellStyle name="Nota 2 2 2 3 4 5 4" xfId="8672" xr:uid="{83D37513-C7A6-4238-9A3D-E115814E0315}"/>
    <cellStyle name="Nota 2 2 2 3 4 6" xfId="1436" xr:uid="{59D4B4FE-0A59-4B70-A850-0C93B1C72556}"/>
    <cellStyle name="Nota 2 2 2 3 4 7" xfId="3752" xr:uid="{4455B619-B601-47ED-AB6B-8985653C94E1}"/>
    <cellStyle name="Nota 2 2 2 3 4 8" xfId="5842" xr:uid="{53C41AC4-279D-4CC4-9ED1-728F578E66CA}"/>
    <cellStyle name="Nota 2 2 2 3 4 9" xfId="7597" xr:uid="{F01610F4-DB88-40FC-BDDA-ED2506778F3B}"/>
    <cellStyle name="Nota 2 2 2 3 5" xfId="619" xr:uid="{B55693B1-CAEE-4E25-A6DF-CA6306EF1A42}"/>
    <cellStyle name="Nota 2 2 2 3 5 2" xfId="2077" xr:uid="{01C418FB-A5CD-4FA7-A85D-63032436275A}"/>
    <cellStyle name="Nota 2 2 2 3 5 2 2" xfId="4391" xr:uid="{3A95D276-53AE-4AD7-9DF7-62C14D27F73D}"/>
    <cellStyle name="Nota 2 2 2 3 5 2 3" xfId="6431" xr:uid="{C3DB7D5A-1B52-4819-95D2-2F8A5A937816}"/>
    <cellStyle name="Nota 2 2 2 3 5 2 4" xfId="7989" xr:uid="{D6E96911-A3FB-475E-87B4-838E37802DF0}"/>
    <cellStyle name="Nota 2 2 2 3 5 3" xfId="2529" xr:uid="{CE889B6A-C3B4-4D9A-8BC5-CABA9672B867}"/>
    <cellStyle name="Nota 2 2 2 3 5 3 2" xfId="4843" xr:uid="{A91D6756-E402-4489-BEB7-8FDE14E1CD37}"/>
    <cellStyle name="Nota 2 2 2 3 5 3 3" xfId="6852" xr:uid="{4E47CE54-628C-4353-B504-2A2562B199B3}"/>
    <cellStyle name="Nota 2 2 2 3 5 3 4" xfId="8269" xr:uid="{A6854F88-DCC5-474F-929A-B99754FD22C8}"/>
    <cellStyle name="Nota 2 2 2 3 5 4" xfId="2931" xr:uid="{730A8988-4068-4D34-9333-C660C75C73C3}"/>
    <cellStyle name="Nota 2 2 2 3 5 4 2" xfId="5245" xr:uid="{402423F1-30C5-4BD6-91E8-EB00B3B24941}"/>
    <cellStyle name="Nota 2 2 2 3 5 4 3" xfId="7239" xr:uid="{4CFC3DCE-834B-4121-BCB0-EC90B2ADDE20}"/>
    <cellStyle name="Nota 2 2 2 3 5 4 4" xfId="8524" xr:uid="{7EEBF056-B0AB-4084-9889-412AE20CC608}"/>
    <cellStyle name="Nota 2 2 2 3 5 5" xfId="3138" xr:uid="{B313DD30-FBDD-4C87-B975-201F94C61148}"/>
    <cellStyle name="Nota 2 2 2 3 5 5 2" xfId="5452" xr:uid="{EB54099A-91B9-49ED-A733-6F428FE27706}"/>
    <cellStyle name="Nota 2 2 2 3 5 5 3" xfId="7446" xr:uid="{C879A54D-852F-4F5A-BE82-D4B6E1E20023}"/>
    <cellStyle name="Nota 2 2 2 3 5 5 4" xfId="8690" xr:uid="{876AB475-A47A-45D6-A60F-53E674AF71C7}"/>
    <cellStyle name="Nota 2 2 2 3 5 6" xfId="1467" xr:uid="{57A9394A-81C3-4A96-932A-79F809289930}"/>
    <cellStyle name="Nota 2 2 2 3 5 7" xfId="3783" xr:uid="{AE6EB10C-FA22-497D-BCBA-B4A885A7F0BB}"/>
    <cellStyle name="Nota 2 2 2 3 5 8" xfId="5871" xr:uid="{7C12E3F7-F3F5-4C30-B5EA-BA5AC65CB15A}"/>
    <cellStyle name="Nota 2 2 2 3 5 9" xfId="7618" xr:uid="{AA24C0D8-4F35-493D-A007-E51578EE1021}"/>
    <cellStyle name="Nota 2 2 2 3 6" xfId="1677" xr:uid="{81302DA3-43FE-4D4D-B491-52A8F38B9E5F}"/>
    <cellStyle name="Nota 2 2 2 3 6 2" xfId="3991" xr:uid="{C74E3A5E-8251-4C1C-BBD3-59EE977FDCA4}"/>
    <cellStyle name="Nota 2 2 2 3 6 3" xfId="6047" xr:uid="{D3D21C6F-06DF-4F47-A5F8-1B77EC489BD7}"/>
    <cellStyle name="Nota 2 2 2 3 6 4" xfId="7759" xr:uid="{023DF054-BC47-40C2-A300-33C08FDF861F}"/>
    <cellStyle name="Nota 2 2 2 3 7" xfId="1905" xr:uid="{2B61A817-AE84-4CA6-AB27-C74301E14B08}"/>
    <cellStyle name="Nota 2 2 2 3 7 2" xfId="4219" xr:uid="{47A980E2-01B8-4DFA-96AA-986C7BA98805}"/>
    <cellStyle name="Nota 2 2 2 3 7 3" xfId="6264" xr:uid="{60E81E74-4855-4D18-BD8A-081D93FDD411}"/>
    <cellStyle name="Nota 2 2 2 3 7 4" xfId="7896" xr:uid="{3E449690-5B05-47D8-89EA-D2B44D32A15C}"/>
    <cellStyle name="Nota 2 2 2 3 8" xfId="2688" xr:uid="{E13600CF-71B4-4F83-B2AB-966A7B9C35B5}"/>
    <cellStyle name="Nota 2 2 2 3 8 2" xfId="5002" xr:uid="{7D626178-6D6F-4C1F-8133-B13FFD9A6DBB}"/>
    <cellStyle name="Nota 2 2 2 3 8 3" xfId="6996" xr:uid="{67B38596-E571-4F45-A4E5-0A4D1CDE4E45}"/>
    <cellStyle name="Nota 2 2 2 3 8 4" xfId="8387" xr:uid="{DFBDB2A3-7C9D-4B96-9D94-5B7CEE1A9D7E}"/>
    <cellStyle name="Nota 2 2 2 3 9" xfId="994" xr:uid="{E69157DD-92CD-4EFC-8997-94E70862BE28}"/>
    <cellStyle name="Nota 2 2 2 4" xfId="213" xr:uid="{9BFB05F4-565C-404F-8D0D-87B4A296543F}"/>
    <cellStyle name="Nota 2 2 2 4 10" xfId="5555" xr:uid="{DA978DBE-5FEA-47D2-A759-649D1EC99D98}"/>
    <cellStyle name="Nota 2 2 2 4 11" xfId="3408" xr:uid="{986BC8E5-8DE8-4C13-B45C-9E77AD45757E}"/>
    <cellStyle name="Nota 2 2 2 4 2" xfId="611" xr:uid="{18585239-30C5-4144-867F-3DBA2553E9A8}"/>
    <cellStyle name="Nota 2 2 2 4 2 2" xfId="2069" xr:uid="{C3367FA2-E31E-4A86-9132-F6AF0FD7EF9D}"/>
    <cellStyle name="Nota 2 2 2 4 2 2 2" xfId="4383" xr:uid="{A435F0CC-D568-4482-9642-F444ACE4B530}"/>
    <cellStyle name="Nota 2 2 2 4 2 2 3" xfId="6423" xr:uid="{A547F0AC-C579-452F-919D-4B6EEEE54AF8}"/>
    <cellStyle name="Nota 2 2 2 4 2 2 4" xfId="7981" xr:uid="{FB5B92AA-7F94-4142-8A16-310D2E149BEA}"/>
    <cellStyle name="Nota 2 2 2 4 2 3" xfId="2521" xr:uid="{F15624E3-8028-4049-9BC9-87BF463F212F}"/>
    <cellStyle name="Nota 2 2 2 4 2 3 2" xfId="4835" xr:uid="{2FC86EEC-CADF-4DD1-9029-823429A4DE93}"/>
    <cellStyle name="Nota 2 2 2 4 2 3 3" xfId="6844" xr:uid="{58ED233C-BCF8-4A96-AD8C-8ECB5D8BDF11}"/>
    <cellStyle name="Nota 2 2 2 4 2 3 4" xfId="8261" xr:uid="{37CBF7C2-9917-4379-AAC7-C0CFBA74BCCB}"/>
    <cellStyle name="Nota 2 2 2 4 2 4" xfId="2924" xr:uid="{C54FA046-479B-427D-B4D6-78BE4ECEE9A8}"/>
    <cellStyle name="Nota 2 2 2 4 2 4 2" xfId="5238" xr:uid="{B1780DD4-512C-4A6A-BCB6-C9818E78E25A}"/>
    <cellStyle name="Nota 2 2 2 4 2 4 3" xfId="7232" xr:uid="{5AE30ADF-4B2D-4D7D-BB1A-3E951D28ED36}"/>
    <cellStyle name="Nota 2 2 2 4 2 4 4" xfId="8517" xr:uid="{0A77769E-E6F5-4D9B-90F1-82C8373351DF}"/>
    <cellStyle name="Nota 2 2 2 4 2 5" xfId="3131" xr:uid="{EBBC3258-9F50-4536-8A47-FCEB999CFFA6}"/>
    <cellStyle name="Nota 2 2 2 4 2 5 2" xfId="5445" xr:uid="{09D21CB4-B4A0-4F0E-9ECB-89BF061F36DA}"/>
    <cellStyle name="Nota 2 2 2 4 2 5 3" xfId="7439" xr:uid="{28E63F19-69DF-43BB-9D6A-D48BAA43F685}"/>
    <cellStyle name="Nota 2 2 2 4 2 5 4" xfId="8683" xr:uid="{13AE8D0D-DCAF-46CE-8071-17D350F814B3}"/>
    <cellStyle name="Nota 2 2 2 4 2 6" xfId="1459" xr:uid="{17358459-F792-4B49-BB2F-C45E8E5B01A9}"/>
    <cellStyle name="Nota 2 2 2 4 2 7" xfId="3775" xr:uid="{CBE10AB0-FE19-4113-8769-701E0D4E947A}"/>
    <cellStyle name="Nota 2 2 2 4 2 8" xfId="5864" xr:uid="{1DE9B3DF-4247-4F89-A55F-94DBBF1E21B3}"/>
    <cellStyle name="Nota 2 2 2 4 2 9" xfId="7610" xr:uid="{813796FE-8230-4B16-B4C2-72C688DFCEA2}"/>
    <cellStyle name="Nota 2 2 2 4 3" xfId="383" xr:uid="{5F7C24EA-0199-4279-833B-2DF92141DF1B}"/>
    <cellStyle name="Nota 2 2 2 4 3 2" xfId="1865" xr:uid="{D15F629B-2208-4DE2-8F28-288109305D2B}"/>
    <cellStyle name="Nota 2 2 2 4 3 2 2" xfId="4179" xr:uid="{F4CAACBF-37D0-4675-851D-934F7070CC48}"/>
    <cellStyle name="Nota 2 2 2 4 3 2 3" xfId="6227" xr:uid="{12521460-EB01-40BF-9879-A6ABB123E08F}"/>
    <cellStyle name="Nota 2 2 2 4 3 2 4" xfId="7865" xr:uid="{A4696154-6294-4143-8643-7E7525A1ADCC}"/>
    <cellStyle name="Nota 2 2 2 4 3 3" xfId="2322" xr:uid="{EF23199D-1633-496D-8B02-3A14A2F270DE}"/>
    <cellStyle name="Nota 2 2 2 4 3 3 2" xfId="4636" xr:uid="{5E677EF1-DC07-4957-9018-7E949DEAE2DD}"/>
    <cellStyle name="Nota 2 2 2 4 3 3 3" xfId="6655" xr:uid="{B49F8DFE-DC22-4E2C-BCF7-2B19FABA0CEC}"/>
    <cellStyle name="Nota 2 2 2 4 3 3 4" xfId="8148" xr:uid="{3121C045-4737-48F7-860A-D8146F98AEDC}"/>
    <cellStyle name="Nota 2 2 2 4 3 4" xfId="2743" xr:uid="{75BE4B4E-C2C8-4CA4-A959-4FACBA3B7598}"/>
    <cellStyle name="Nota 2 2 2 4 3 4 2" xfId="5057" xr:uid="{D863A918-F529-40A5-B6C3-BC00E8764BB9}"/>
    <cellStyle name="Nota 2 2 2 4 3 4 3" xfId="7051" xr:uid="{19C36D69-05AB-4A35-887E-5F57837735C0}"/>
    <cellStyle name="Nota 2 2 2 4 3 4 4" xfId="8420" xr:uid="{AB349B13-7E3F-4C5A-B238-B5280DDE3C12}"/>
    <cellStyle name="Nota 2 2 2 4 3 5" xfId="3051" xr:uid="{32265C0F-7F44-46F4-ACB6-56D0EB196700}"/>
    <cellStyle name="Nota 2 2 2 4 3 5 2" xfId="5365" xr:uid="{1FF30782-53A9-45F2-A5F3-F8BDB0BA3E72}"/>
    <cellStyle name="Nota 2 2 2 4 3 5 3" xfId="7359" xr:uid="{409FB5BF-527E-487E-BAFB-AD86DEE4331B}"/>
    <cellStyle name="Nota 2 2 2 4 3 5 4" xfId="8603" xr:uid="{E6C81EF9-6A37-4237-890D-0F9FE19293F9}"/>
    <cellStyle name="Nota 2 2 2 4 3 6" xfId="1231" xr:uid="{4E09EA7B-473E-420A-8250-EB74A9FD7920}"/>
    <cellStyle name="Nota 2 2 2 4 3 7" xfId="3566" xr:uid="{F02CA681-AD06-466D-AD38-E551091F09EB}"/>
    <cellStyle name="Nota 2 2 2 4 3 8" xfId="5681" xr:uid="{0BFF1264-0DA9-4AB5-A6AE-F6BD442809E5}"/>
    <cellStyle name="Nota 2 2 2 4 3 9" xfId="3210" xr:uid="{91754108-3269-47BA-91A3-8B9C61871282}"/>
    <cellStyle name="Nota 2 2 2 4 4" xfId="1721" xr:uid="{0E695CC2-49F6-4A16-BAA1-7767115FC483}"/>
    <cellStyle name="Nota 2 2 2 4 4 2" xfId="4035" xr:uid="{3BD410CE-6786-4300-94BA-753117AAC856}"/>
    <cellStyle name="Nota 2 2 2 4 4 3" xfId="6089" xr:uid="{21772580-1716-474F-BFE5-C77ECA460C71}"/>
    <cellStyle name="Nota 2 2 2 4 4 4" xfId="7783" xr:uid="{6E725798-8EF8-4DD4-B6BA-D66568FA124C}"/>
    <cellStyle name="Nota 2 2 2 4 5" xfId="2220" xr:uid="{670E7B81-E9DE-4962-ABE8-05E0A6638C12}"/>
    <cellStyle name="Nota 2 2 2 4 5 2" xfId="4534" xr:uid="{9EDB464F-FFE5-4981-98C7-7FEC84C92814}"/>
    <cellStyle name="Nota 2 2 2 4 5 3" xfId="6556" xr:uid="{E0B15E4B-8B14-4F1B-A8EB-EA2E74DB0C99}"/>
    <cellStyle name="Nota 2 2 2 4 5 4" xfId="8091" xr:uid="{C8D94921-5FA2-40AF-B767-5DB464547A82}"/>
    <cellStyle name="Nota 2 2 2 4 6" xfId="2395" xr:uid="{36033428-ED2D-484F-B31B-DA4C7D26C341}"/>
    <cellStyle name="Nota 2 2 2 4 6 2" xfId="4709" xr:uid="{51ADD24F-82C9-4C95-ADBE-A1C52AEB30FA}"/>
    <cellStyle name="Nota 2 2 2 4 6 3" xfId="6722" xr:uid="{C122BA21-881B-41AC-BB4F-48C39BD622A2}"/>
    <cellStyle name="Nota 2 2 2 4 6 4" xfId="8197" xr:uid="{5ED941A5-1C96-4B27-B371-48C206EE20F2}"/>
    <cellStyle name="Nota 2 2 2 4 7" xfId="2760" xr:uid="{25B26DCB-2A45-45F0-892B-A85C733CAD64}"/>
    <cellStyle name="Nota 2 2 2 4 7 2" xfId="5074" xr:uid="{F2D57718-5C11-4374-8269-DAAB54950F5D}"/>
    <cellStyle name="Nota 2 2 2 4 7 3" xfId="7068" xr:uid="{216E3D01-AA74-42E5-B4DC-43D7AAF630E7}"/>
    <cellStyle name="Nota 2 2 2 4 7 4" xfId="8432" xr:uid="{3F671C0C-2B38-4C79-8293-2699C7C45923}"/>
    <cellStyle name="Nota 2 2 2 4 8" xfId="1061" xr:uid="{C9C43217-1DE8-487C-936C-FED5619E91DA}"/>
    <cellStyle name="Nota 2 2 2 4 9" xfId="3420" xr:uid="{FFE8B0D5-8A9A-46D1-89F2-5D0A6AB3BCD4}"/>
    <cellStyle name="Nota 2 2 2 5" xfId="382" xr:uid="{01D2402C-12F4-4A3D-8768-DF4EAF256AEF}"/>
    <cellStyle name="Nota 2 2 2 5 2" xfId="1864" xr:uid="{E4AB0C0D-D5C6-47BE-9052-78D7CBC13E3C}"/>
    <cellStyle name="Nota 2 2 2 5 2 2" xfId="4178" xr:uid="{F9B4AA88-1F9F-4AA0-97F2-2D2F207351A2}"/>
    <cellStyle name="Nota 2 2 2 5 2 3" xfId="6226" xr:uid="{D818986F-8B27-429B-A3FC-AB64AD9D6A96}"/>
    <cellStyle name="Nota 2 2 2 5 2 4" xfId="7864" xr:uid="{389D9BDF-1E27-4373-8A1E-1E387BEC36D5}"/>
    <cellStyle name="Nota 2 2 2 5 3" xfId="2321" xr:uid="{B0D87459-82A8-43AC-B86D-606DAF6A7CBC}"/>
    <cellStyle name="Nota 2 2 2 5 3 2" xfId="4635" xr:uid="{264422C3-E99B-441A-8FD6-E1EC30A1C141}"/>
    <cellStyle name="Nota 2 2 2 5 3 3" xfId="6654" xr:uid="{94B1F449-2EFC-4AC4-9081-A46851CFC391}"/>
    <cellStyle name="Nota 2 2 2 5 3 4" xfId="8147" xr:uid="{AA34FA56-14F9-4A18-8D6E-73213024795A}"/>
    <cellStyle name="Nota 2 2 2 5 4" xfId="2742" xr:uid="{9A60ED4B-A5B0-4CD9-AE06-F63624258B1A}"/>
    <cellStyle name="Nota 2 2 2 5 4 2" xfId="5056" xr:uid="{15E118AF-887A-4C73-8700-94846E871515}"/>
    <cellStyle name="Nota 2 2 2 5 4 3" xfId="7050" xr:uid="{AF9E7C10-B7A9-44D5-947E-752ADFFC027A}"/>
    <cellStyle name="Nota 2 2 2 5 4 4" xfId="8419" xr:uid="{3CD911D4-1CF1-4969-98F2-246D41912ECF}"/>
    <cellStyle name="Nota 2 2 2 5 5" xfId="3050" xr:uid="{181767C7-D61F-4352-AE8E-11FA356300B9}"/>
    <cellStyle name="Nota 2 2 2 5 5 2" xfId="5364" xr:uid="{297877B6-5C8F-474C-8283-BA4FC95587D9}"/>
    <cellStyle name="Nota 2 2 2 5 5 3" xfId="7358" xr:uid="{DDF694AE-8C86-4FAE-87FB-BB10D2A43FA8}"/>
    <cellStyle name="Nota 2 2 2 5 5 4" xfId="8602" xr:uid="{DD015CD4-3DAE-46C2-8551-6B5C582BF1C7}"/>
    <cellStyle name="Nota 2 2 2 5 6" xfId="1230" xr:uid="{DDD5D46B-97B3-4907-B425-EF587B9A4C4C}"/>
    <cellStyle name="Nota 2 2 2 5 7" xfId="3565" xr:uid="{69F59AF8-28DE-4655-A5FC-29A44BAAC42C}"/>
    <cellStyle name="Nota 2 2 2 5 8" xfId="5680" xr:uid="{8B16700A-023D-4068-B654-BCCBFE8D6F19}"/>
    <cellStyle name="Nota 2 2 2 5 9" xfId="791" xr:uid="{E684211A-FFDC-4B5A-9B26-D259F805347D}"/>
    <cellStyle name="Nota 2 2 2 6" xfId="914" xr:uid="{BFE6C292-A82B-4E71-A6CB-D3B897AFFB73}"/>
    <cellStyle name="Nota 2 2 2 6 2" xfId="3296" xr:uid="{DF3A6B27-173F-497E-AE4E-19111F4E28B4}"/>
    <cellStyle name="Nota 2 2 2 6 3" xfId="3929" xr:uid="{2C43A855-384A-4C22-93D5-460B52094BD7}"/>
    <cellStyle name="Nota 2 2 2 6 4" xfId="6881" xr:uid="{E6974B71-ACB5-486D-9F70-E289CDF4E979}"/>
    <cellStyle name="Nota 2 2 2 7" xfId="811" xr:uid="{7169BD23-DF3D-4F5F-9FF8-44B2932D7DAF}"/>
    <cellStyle name="Nota 2 2 2 8" xfId="764" xr:uid="{10A0FCBD-9927-4BBB-B0BA-32B8DC51AD17}"/>
    <cellStyle name="Nota 2 2 2 9" xfId="3557" xr:uid="{9E3AD499-B186-4E32-996E-9128B9E36D15}"/>
    <cellStyle name="Nota 2 2 3" xfId="61" xr:uid="{00000000-0005-0000-0000-00002E000000}"/>
    <cellStyle name="Nota 2 2 3 10" xfId="6260" xr:uid="{DB72E748-01C0-437D-8546-614109F00F66}"/>
    <cellStyle name="Nota 2 2 3 2" xfId="110" xr:uid="{4ED761A1-FEBF-46D3-8F54-D5D9654AD39C}"/>
    <cellStyle name="Nota 2 2 3 2 10" xfId="2345" xr:uid="{F54D8FE2-09DE-4C92-949B-20C1B27CB514}"/>
    <cellStyle name="Nota 2 2 3 2 10 2" xfId="4659" xr:uid="{FCAD6F6E-95DD-441D-958C-7654937A5E4C}"/>
    <cellStyle name="Nota 2 2 3 2 10 3" xfId="6674" xr:uid="{DEA9C81D-2FB1-4E6E-BA8F-B93EAC7005C8}"/>
    <cellStyle name="Nota 2 2 3 2 10 4" xfId="8164" xr:uid="{14EC0E50-4A91-438B-BA74-AB4BBECA51A4}"/>
    <cellStyle name="Nota 2 2 3 2 11" xfId="860" xr:uid="{A27BD7FE-A463-4B02-8476-9F1752545A45}"/>
    <cellStyle name="Nota 2 2 3 2 12" xfId="3249" xr:uid="{65E15977-2AD4-435E-9FFB-5C569585C5DE}"/>
    <cellStyle name="Nota 2 2 3 2 13" xfId="3591" xr:uid="{7E809A00-0755-447A-BC29-4999FF5DF7C4}"/>
    <cellStyle name="Nota 2 2 3 2 2" xfId="182" xr:uid="{A33C7491-FE91-47D0-BBB3-CD874350F3E6}"/>
    <cellStyle name="Nota 2 2 3 2 2 2" xfId="319" xr:uid="{FA36E7DE-AF56-4F2F-A2D2-8537882A38D7}"/>
    <cellStyle name="Nota 2 2 3 2 2 2 10" xfId="5630" xr:uid="{90D3FB34-A71D-4B06-AB5F-8E86C0FE2C30}"/>
    <cellStyle name="Nota 2 2 3 2 2 2 11" xfId="5741" xr:uid="{08810BDD-7EBB-41EA-8EF9-8D21BEF8DB0C}"/>
    <cellStyle name="Nota 2 2 3 2 2 2 2" xfId="678" xr:uid="{3CE12F18-119E-4568-9E1B-A1C9B9FC9FA6}"/>
    <cellStyle name="Nota 2 2 3 2 2 2 2 2" xfId="2136" xr:uid="{3F748DA9-7093-4379-AC98-6BCB30E1AFBD}"/>
    <cellStyle name="Nota 2 2 3 2 2 2 2 2 2" xfId="4450" xr:uid="{A3CD3CEC-D6F9-4393-9C59-297F79978636}"/>
    <cellStyle name="Nota 2 2 3 2 2 2 2 2 3" xfId="6475" xr:uid="{DBFE2E94-C9A7-458E-B1AF-F00ABEF1A511}"/>
    <cellStyle name="Nota 2 2 3 2 2 2 2 2 4" xfId="8044" xr:uid="{C5935F36-8B07-4E33-B516-77BA26462220}"/>
    <cellStyle name="Nota 2 2 3 2 2 2 2 3" xfId="2588" xr:uid="{DC72897B-B7E8-4B60-9700-DD286D8EA35C}"/>
    <cellStyle name="Nota 2 2 3 2 2 2 2 3 2" xfId="4902" xr:uid="{83FCE403-C46D-4FDB-A85B-04CAE5B14E75}"/>
    <cellStyle name="Nota 2 2 3 2 2 2 2 3 3" xfId="6898" xr:uid="{76FB022A-0D64-4CF4-9C9B-E2B962C75A89}"/>
    <cellStyle name="Nota 2 2 3 2 2 2 2 3 4" xfId="8324" xr:uid="{3BD903CB-E41B-478C-A7FF-8BFE0E312DDD}"/>
    <cellStyle name="Nota 2 2 3 2 2 2 2 4" xfId="2969" xr:uid="{6667705D-BD74-431C-8158-62720F0CC02C}"/>
    <cellStyle name="Nota 2 2 3 2 2 2 2 4 2" xfId="5283" xr:uid="{38E09D6C-E427-4CCF-A76E-CB24C521B22B}"/>
    <cellStyle name="Nota 2 2 3 2 2 2 2 4 3" xfId="7277" xr:uid="{AF92D384-0CE5-4924-A045-6F2AF553D139}"/>
    <cellStyle name="Nota 2 2 3 2 2 2 2 4 4" xfId="8558" xr:uid="{2DADB3A4-F137-47D1-A73F-259EFBEF9E84}"/>
    <cellStyle name="Nota 2 2 3 2 2 2 2 5" xfId="3170" xr:uid="{32455DE7-8301-4CB1-A2BA-BCF5784211B8}"/>
    <cellStyle name="Nota 2 2 3 2 2 2 2 5 2" xfId="5484" xr:uid="{403737A4-6D63-45D5-89C2-C5C72D2093D9}"/>
    <cellStyle name="Nota 2 2 3 2 2 2 2 5 3" xfId="7478" xr:uid="{7DBF919F-A3CD-4FD0-9F61-7A813C201750}"/>
    <cellStyle name="Nota 2 2 3 2 2 2 2 5 4" xfId="8722" xr:uid="{4CE0F294-0DBE-4E7D-AC34-A069216EFF97}"/>
    <cellStyle name="Nota 2 2 3 2 2 2 2 6" xfId="1526" xr:uid="{88CA5CE0-8AF1-4B19-BA64-1A72042E2ECD}"/>
    <cellStyle name="Nota 2 2 3 2 2 2 2 7" xfId="3842" xr:uid="{5A8F829A-7D35-42AC-89F7-7CF18A6BECA4}"/>
    <cellStyle name="Nota 2 2 3 2 2 2 2 8" xfId="5914" xr:uid="{F5BEF66C-0A00-48FD-A03D-A9E7AD0374CA}"/>
    <cellStyle name="Nota 2 2 3 2 2 2 2 9" xfId="7673" xr:uid="{BB642FDC-1B9B-4AB9-8216-CE2C92C3116D}"/>
    <cellStyle name="Nota 2 2 3 2 2 2 3" xfId="750" xr:uid="{D065F5D0-A79D-4BC0-B043-50C41BEC874D}"/>
    <cellStyle name="Nota 2 2 3 2 2 2 3 2" xfId="2208" xr:uid="{72B7B534-7F8A-430F-A8A7-D41B90CC7B6F}"/>
    <cellStyle name="Nota 2 2 3 2 2 2 3 2 2" xfId="4522" xr:uid="{92A0EEB8-3DA0-4618-9664-CDEFC3C59F56}"/>
    <cellStyle name="Nota 2 2 3 2 2 2 3 2 3" xfId="6544" xr:uid="{877802F4-4873-4FFB-A882-0854424B2896}"/>
    <cellStyle name="Nota 2 2 3 2 2 2 3 2 4" xfId="8085" xr:uid="{472830C2-D1F4-43E5-A659-F18A0D554475}"/>
    <cellStyle name="Nota 2 2 3 2 2 2 3 3" xfId="2660" xr:uid="{D92EC50C-1D96-406D-B8BF-0BFA536FB710}"/>
    <cellStyle name="Nota 2 2 3 2 2 2 3 3 2" xfId="4974" xr:uid="{8AF1D34A-77D7-45DC-9263-57B9435E42E2}"/>
    <cellStyle name="Nota 2 2 3 2 2 2 3 3 3" xfId="6968" xr:uid="{074BDD5E-FB9A-40DC-BAA2-B2B508B75405}"/>
    <cellStyle name="Nota 2 2 3 2 2 2 3 3 4" xfId="8365" xr:uid="{1A952920-174F-4959-A6FE-98DAC293ECC4}"/>
    <cellStyle name="Nota 2 2 3 2 2 2 3 4" xfId="3035" xr:uid="{7E938F4D-43D3-4603-A5B6-ACC3D84004B0}"/>
    <cellStyle name="Nota 2 2 3 2 2 2 3 4 2" xfId="5349" xr:uid="{2E011069-E89C-4E9F-9BC6-A61682201376}"/>
    <cellStyle name="Nota 2 2 3 2 2 2 3 4 3" xfId="7343" xr:uid="{58715A92-3824-425F-838E-EB98D36A563D}"/>
    <cellStyle name="Nota 2 2 3 2 2 2 3 4 4" xfId="8593" xr:uid="{23337271-3F23-403A-B789-3CC33A4DDDD9}"/>
    <cellStyle name="Nota 2 2 3 2 2 2 3 5" xfId="3205" xr:uid="{5058E8E9-A10D-4D54-8F33-68A00260E9BF}"/>
    <cellStyle name="Nota 2 2 3 2 2 2 3 5 2" xfId="5519" xr:uid="{73B029B4-22C6-4A27-91D4-AAFA29B0B732}"/>
    <cellStyle name="Nota 2 2 3 2 2 2 3 5 3" xfId="7513" xr:uid="{069331E6-DA75-46F6-B697-91AF0A7F75FB}"/>
    <cellStyle name="Nota 2 2 3 2 2 2 3 5 4" xfId="8757" xr:uid="{FD018278-F420-477F-B0AE-E89041A54A1C}"/>
    <cellStyle name="Nota 2 2 3 2 2 2 3 6" xfId="1598" xr:uid="{D801A68D-7ED2-41FC-89A0-C2B1AA2BE594}"/>
    <cellStyle name="Nota 2 2 3 2 2 2 3 7" xfId="3914" xr:uid="{CB8BCB8A-4C0E-4D46-94DC-4F12253C902B}"/>
    <cellStyle name="Nota 2 2 3 2 2 2 3 8" xfId="5981" xr:uid="{42443A2B-4FC4-4A1A-81CF-AA5FC9A0495E}"/>
    <cellStyle name="Nota 2 2 3 2 2 2 3 9" xfId="7714" xr:uid="{868B5699-4561-425C-A476-BAE372777756}"/>
    <cellStyle name="Nota 2 2 3 2 2 2 4" xfId="1809" xr:uid="{1ED30F17-9FA3-453A-84ED-107FBA9EC399}"/>
    <cellStyle name="Nota 2 2 3 2 2 2 4 2" xfId="4123" xr:uid="{42360F5F-426E-4EBB-91F2-002633BAB852}"/>
    <cellStyle name="Nota 2 2 3 2 2 2 4 3" xfId="6172" xr:uid="{7485ED6A-6411-4753-A7B2-3A7AECF4B7D2}"/>
    <cellStyle name="Nota 2 2 3 2 2 2 4 4" xfId="7838" xr:uid="{AAF69380-97A1-442E-A5DC-2AC55E5159E9}"/>
    <cellStyle name="Nota 2 2 3 2 2 2 5" xfId="2266" xr:uid="{13F145E5-4B6F-43EE-9FAC-AFC8C6D23B24}"/>
    <cellStyle name="Nota 2 2 3 2 2 2 5 2" xfId="4580" xr:uid="{243BAEFD-7BC2-4636-A876-87BADA47BF73}"/>
    <cellStyle name="Nota 2 2 3 2 2 2 5 3" xfId="6602" xr:uid="{1E2892D7-3BED-458B-AF6C-0C43B1CA0185}"/>
    <cellStyle name="Nota 2 2 3 2 2 2 5 4" xfId="8121" xr:uid="{08024C26-9998-4811-A298-F8E1A933BECB}"/>
    <cellStyle name="Nota 2 2 3 2 2 2 6" xfId="2701" xr:uid="{9E047368-F3FA-4BB2-8A2D-46A91CD170B6}"/>
    <cellStyle name="Nota 2 2 3 2 2 2 6 2" xfId="5015" xr:uid="{A55B41A1-9D37-4E71-BD83-356F976DA367}"/>
    <cellStyle name="Nota 2 2 3 2 2 2 6 3" xfId="7009" xr:uid="{88CBDF87-3A88-4851-B27F-40D3B87F956C}"/>
    <cellStyle name="Nota 2 2 3 2 2 2 6 4" xfId="8400" xr:uid="{7EA32ABC-BC52-42C3-82EF-2001B7AEEFDF}"/>
    <cellStyle name="Nota 2 2 3 2 2 2 7" xfId="1752" xr:uid="{040126A8-3501-4326-9369-F7F126A8E899}"/>
    <cellStyle name="Nota 2 2 3 2 2 2 7 2" xfId="4066" xr:uid="{3A290A92-D0D6-4FDD-AFB8-C9125985E857}"/>
    <cellStyle name="Nota 2 2 3 2 2 2 7 3" xfId="6118" xr:uid="{BB3794B0-0678-4DFE-AE81-1FC5492D33FE}"/>
    <cellStyle name="Nota 2 2 3 2 2 2 7 4" xfId="7805" xr:uid="{87890688-FAB0-4753-9265-A36E7B78506C}"/>
    <cellStyle name="Nota 2 2 3 2 2 2 8" xfId="1167" xr:uid="{9F451C67-86B9-4CF8-8A94-8EE9E7A22EFB}"/>
    <cellStyle name="Nota 2 2 3 2 2 2 9" xfId="3509" xr:uid="{A785B044-0075-477E-82FA-42365375B972}"/>
    <cellStyle name="Nota 2 2 3 2 2 3" xfId="493" xr:uid="{C154FA54-1A95-4CBC-9F20-68A9C151F217}"/>
    <cellStyle name="Nota 2 2 3 2 2 3 2" xfId="1956" xr:uid="{D40B6AAE-5025-4812-B17E-C7C780677307}"/>
    <cellStyle name="Nota 2 2 3 2 2 3 2 2" xfId="4270" xr:uid="{D00FEE02-69A2-416A-A40B-445B6CB967DE}"/>
    <cellStyle name="Nota 2 2 3 2 2 3 2 3" xfId="6312" xr:uid="{E6E44238-E37E-4F5F-AA9E-50F4C78D4177}"/>
    <cellStyle name="Nota 2 2 3 2 2 3 2 4" xfId="7928" xr:uid="{075FFE79-9CC0-44AC-B096-2C06CC647D8A}"/>
    <cellStyle name="Nota 2 2 3 2 2 3 3" xfId="2409" xr:uid="{166D4A66-8AE3-46AE-B062-2A5F4CEB50E4}"/>
    <cellStyle name="Nota 2 2 3 2 2 3 3 2" xfId="4723" xr:uid="{836CA1BB-6198-4E46-9EAF-B7019132C67E}"/>
    <cellStyle name="Nota 2 2 3 2 2 3 3 3" xfId="6735" xr:uid="{7DA4DCD0-C561-4112-B2DE-747C2C50D1A3}"/>
    <cellStyle name="Nota 2 2 3 2 2 3 3 4" xfId="8209" xr:uid="{BBD6E374-F450-4194-9473-E85850978337}"/>
    <cellStyle name="Nota 2 2 3 2 2 3 4" xfId="2816" xr:uid="{DCB4B152-253F-4746-B814-3584DD1A647C}"/>
    <cellStyle name="Nota 2 2 3 2 2 3 4 2" xfId="5130" xr:uid="{96C1B105-C883-497A-8599-DDF38C4CFF16}"/>
    <cellStyle name="Nota 2 2 3 2 2 3 4 3" xfId="7124" xr:uid="{11955D4C-1EFF-43CF-BE7F-6D39703BAEF6}"/>
    <cellStyle name="Nota 2 2 3 2 2 3 4 4" xfId="8469" xr:uid="{F6F4FAE9-0451-4F75-839B-BB44E595975C}"/>
    <cellStyle name="Nota 2 2 3 2 2 3 5" xfId="3086" xr:uid="{034BFA89-48D3-4F3B-9757-69F6823D15AD}"/>
    <cellStyle name="Nota 2 2 3 2 2 3 5 2" xfId="5400" xr:uid="{D4B3951D-6557-4E42-882C-2DFF47CD0211}"/>
    <cellStyle name="Nota 2 2 3 2 2 3 5 3" xfId="7394" xr:uid="{6111DE05-58DB-491B-A95D-B3E72EFCF85D}"/>
    <cellStyle name="Nota 2 2 3 2 2 3 5 4" xfId="8638" xr:uid="{B2B66F73-57FA-4DB9-B3C7-87BEBDFC0B18}"/>
    <cellStyle name="Nota 2 2 3 2 2 3 6" xfId="1341" xr:uid="{18549395-87E0-4946-904E-FB8FD7980249}"/>
    <cellStyle name="Nota 2 2 3 2 2 3 7" xfId="3660" xr:uid="{EE1ABAEB-9534-43CB-8151-A3FE79CF4893}"/>
    <cellStyle name="Nota 2 2 3 2 2 3 8" xfId="5753" xr:uid="{801C2114-8058-46EE-9C07-18E8DD04A02E}"/>
    <cellStyle name="Nota 2 2 3 2 2 3 9" xfId="7559" xr:uid="{A161F90E-7195-4337-8509-DA1EDB024F29}"/>
    <cellStyle name="Nota 2 2 3 2 2 4" xfId="1621" xr:uid="{07ABC1D0-F725-4861-802F-26312B6FD0E7}"/>
    <cellStyle name="Nota 2 2 3 2 2 4 2" xfId="3935" xr:uid="{D715E17D-DF62-4335-AAFD-961F4EE64301}"/>
    <cellStyle name="Nota 2 2 3 2 2 4 3" xfId="5998" xr:uid="{EAD34411-6C1B-4DEA-8FE2-4C62E4942DD6}"/>
    <cellStyle name="Nota 2 2 3 2 2 4 4" xfId="7720" xr:uid="{BA61BBCE-12E0-427E-9F0B-15091392CFEF}"/>
    <cellStyle name="Nota 2 2 3 2 2 5" xfId="1030" xr:uid="{8E81E2F9-3F0D-41FF-90E1-2CE9B4A1D06F}"/>
    <cellStyle name="Nota 2 2 3 2 2 6" xfId="3396" xr:uid="{88699EBE-9112-4D35-A6D9-DDCC3D0F353D}"/>
    <cellStyle name="Nota 2 2 3 2 2 7" xfId="5535" xr:uid="{BABB504A-41E9-4877-AE2C-20D851B85C12}"/>
    <cellStyle name="Nota 2 2 3 2 2 8" xfId="5720" xr:uid="{9A759A69-B007-417B-88F6-17406CF3F7D6}"/>
    <cellStyle name="Nota 2 2 3 2 3" xfId="250" xr:uid="{CDFE558B-6F9E-47D5-BDD6-B79CAAD21615}"/>
    <cellStyle name="Nota 2 2 3 2 3 10" xfId="5578" xr:uid="{88EFC106-7703-4331-B56C-F2651AAAF11F}"/>
    <cellStyle name="Nota 2 2 3 2 3 11" xfId="5723" xr:uid="{185F9D91-E4C9-4A91-9CFE-1174CF5A821B}"/>
    <cellStyle name="Nota 2 2 3 2 3 2" xfId="632" xr:uid="{7038466E-72A4-4EA6-87B7-AEDF59DD6C2B}"/>
    <cellStyle name="Nota 2 2 3 2 3 2 2" xfId="2090" xr:uid="{07D3A43D-4A7B-4E0F-962E-15C6CD355257}"/>
    <cellStyle name="Nota 2 2 3 2 3 2 2 2" xfId="4404" xr:uid="{F1BDDE7E-C6BF-4E5E-B67E-4D1EE3D55A7A}"/>
    <cellStyle name="Nota 2 2 3 2 3 2 2 3" xfId="6442" xr:uid="{435D2778-E718-4A7C-89B2-1E774D3B6B80}"/>
    <cellStyle name="Nota 2 2 3 2 3 2 2 4" xfId="8001" xr:uid="{38ABDBE6-42ED-471F-9F2A-8F735A0A5CB9}"/>
    <cellStyle name="Nota 2 2 3 2 3 2 3" xfId="2542" xr:uid="{C05AD869-2CA3-4153-A123-F3E2B53E46AB}"/>
    <cellStyle name="Nota 2 2 3 2 3 2 3 2" xfId="4856" xr:uid="{C86AF7AC-D9DD-49E2-8F38-D38881479F40}"/>
    <cellStyle name="Nota 2 2 3 2 3 2 3 3" xfId="6863" xr:uid="{DD1EACFF-FF02-4F8D-AE75-9DE7F61A8576}"/>
    <cellStyle name="Nota 2 2 3 2 3 2 3 4" xfId="8281" xr:uid="{33BE2C9D-6C56-4BA4-8DC3-DCA58F4DACAE}"/>
    <cellStyle name="Nota 2 2 3 2 3 2 4" xfId="2940" xr:uid="{2F7D0D3B-7D94-4F22-9651-BE22C9578C13}"/>
    <cellStyle name="Nota 2 2 3 2 3 2 4 2" xfId="5254" xr:uid="{1E0F718E-014D-4EE4-B994-14067290CFF3}"/>
    <cellStyle name="Nota 2 2 3 2 3 2 4 3" xfId="7248" xr:uid="{E3ACBB5F-ACAC-4E4A-BBA0-EDCC25258FB8}"/>
    <cellStyle name="Nota 2 2 3 2 3 2 4 4" xfId="8532" xr:uid="{61D54E14-90B6-4A11-A30A-DDBBD716BD35}"/>
    <cellStyle name="Nota 2 2 3 2 3 2 5" xfId="3146" xr:uid="{4EE4BE51-0E62-4902-96E4-C7BAA1C44E80}"/>
    <cellStyle name="Nota 2 2 3 2 3 2 5 2" xfId="5460" xr:uid="{34D27627-116A-455A-A742-8F6970CE0D82}"/>
    <cellStyle name="Nota 2 2 3 2 3 2 5 3" xfId="7454" xr:uid="{9916D1B3-C3EE-4E6A-95E2-69C572974EB8}"/>
    <cellStyle name="Nota 2 2 3 2 3 2 5 4" xfId="8698" xr:uid="{2AA97149-E36B-4390-9E32-79A61DFF0526}"/>
    <cellStyle name="Nota 2 2 3 2 3 2 6" xfId="1480" xr:uid="{2BBC1E60-F2B1-480D-BD10-52B1C8902FF5}"/>
    <cellStyle name="Nota 2 2 3 2 3 2 7" xfId="3796" xr:uid="{31B80A3A-00F8-4FC9-9742-F88E977EA901}"/>
    <cellStyle name="Nota 2 2 3 2 3 2 8" xfId="5881" xr:uid="{D9E348D0-4922-4DC7-87E0-C52A9E589B03}"/>
    <cellStyle name="Nota 2 2 3 2 3 2 9" xfId="7630" xr:uid="{8B32FBED-158C-4CA5-9CB6-D8157EB582CF}"/>
    <cellStyle name="Nota 2 2 3 2 3 3" xfId="708" xr:uid="{001C219A-5021-4FBB-9597-D01C620C9695}"/>
    <cellStyle name="Nota 2 2 3 2 3 3 2" xfId="2166" xr:uid="{0B27FAD9-8324-4AE9-9EF8-618281525ACA}"/>
    <cellStyle name="Nota 2 2 3 2 3 3 2 2" xfId="4480" xr:uid="{0E753EDE-DC1B-4A79-83B3-0241823879B4}"/>
    <cellStyle name="Nota 2 2 3 2 3 3 2 3" xfId="6502" xr:uid="{ECF85503-DF0E-4662-963B-AD0723F28DC2}"/>
    <cellStyle name="Nota 2 2 3 2 3 3 2 4" xfId="8064" xr:uid="{BB89C5A3-56A5-4FCF-A77B-D3186D6778D5}"/>
    <cellStyle name="Nota 2 2 3 2 3 3 3" xfId="2618" xr:uid="{3F2191C3-6DD7-4052-AE81-774BCEE4F14B}"/>
    <cellStyle name="Nota 2 2 3 2 3 3 3 2" xfId="4932" xr:uid="{F4A7D873-4EB4-4436-90F6-0ED1B5E35913}"/>
    <cellStyle name="Nota 2 2 3 2 3 3 3 3" xfId="6926" xr:uid="{5731F6E7-F5A6-4A5D-8E2F-AF41F59EDF16}"/>
    <cellStyle name="Nota 2 2 3 2 3 3 3 4" xfId="8344" xr:uid="{1406AA61-FB38-497B-B47C-843AABA08881}"/>
    <cellStyle name="Nota 2 2 3 2 3 3 4" xfId="2993" xr:uid="{5FDE9A62-742C-4FA9-ADE9-7FECBAEACF7F}"/>
    <cellStyle name="Nota 2 2 3 2 3 3 4 2" xfId="5307" xr:uid="{CDC24BD8-171D-40FA-8A75-FB234FCFE67D}"/>
    <cellStyle name="Nota 2 2 3 2 3 3 4 3" xfId="7301" xr:uid="{C6636E79-0AB6-47A9-A47F-BE96AA11A47E}"/>
    <cellStyle name="Nota 2 2 3 2 3 3 4 4" xfId="8572" xr:uid="{F1B42AC1-AEF5-458C-A433-537BF44ACA7B}"/>
    <cellStyle name="Nota 2 2 3 2 3 3 5" xfId="3184" xr:uid="{FC841965-89BD-4F0B-B3B6-740AFA969385}"/>
    <cellStyle name="Nota 2 2 3 2 3 3 5 2" xfId="5498" xr:uid="{A843D1C3-C7FF-4236-947C-AEA0CCFD7B70}"/>
    <cellStyle name="Nota 2 2 3 2 3 3 5 3" xfId="7492" xr:uid="{7319160B-B66A-42CE-AD06-E89985499BBE}"/>
    <cellStyle name="Nota 2 2 3 2 3 3 5 4" xfId="8736" xr:uid="{7B833B2B-436F-46B0-9251-AA49CE964E0C}"/>
    <cellStyle name="Nota 2 2 3 2 3 3 6" xfId="1556" xr:uid="{FECACC88-C523-4C9A-9BE0-A6C9B8407F18}"/>
    <cellStyle name="Nota 2 2 3 2 3 3 7" xfId="3872" xr:uid="{6D68D372-3C9E-4BDA-9478-610B7D0551BC}"/>
    <cellStyle name="Nota 2 2 3 2 3 3 8" xfId="5939" xr:uid="{A2CD09E3-ABC1-48E7-8B67-DC729308CC44}"/>
    <cellStyle name="Nota 2 2 3 2 3 3 9" xfId="7693" xr:uid="{0E8DC61A-7D09-4C8C-8DF9-2B3FFD3DD1F0}"/>
    <cellStyle name="Nota 2 2 3 2 3 4" xfId="1750" xr:uid="{486E579D-98C2-43D7-B590-3AE090D700FD}"/>
    <cellStyle name="Nota 2 2 3 2 3 4 2" xfId="4064" xr:uid="{210BE05F-91FE-48B6-A5E8-D640DCED3C64}"/>
    <cellStyle name="Nota 2 2 3 2 3 4 3" xfId="6116" xr:uid="{378D7A82-C9E6-4E37-819D-92100A5A6FC6}"/>
    <cellStyle name="Nota 2 2 3 2 3 4 4" xfId="7803" xr:uid="{8EB8983D-7133-4407-921C-35A8521BCB68}"/>
    <cellStyle name="Nota 2 2 3 2 3 5" xfId="1942" xr:uid="{98432B0F-2F65-4101-80F7-86BC9D4ADC78}"/>
    <cellStyle name="Nota 2 2 3 2 3 5 2" xfId="4256" xr:uid="{F0AE2501-9670-44CB-9AA3-7EA1A82A63C1}"/>
    <cellStyle name="Nota 2 2 3 2 3 5 3" xfId="6300" xr:uid="{9B5A8676-E39C-4867-88AB-46FD07D60DDA}"/>
    <cellStyle name="Nota 2 2 3 2 3 5 4" xfId="7917" xr:uid="{05D771F8-9A33-4131-A666-CA6D8870612F}"/>
    <cellStyle name="Nota 2 2 3 2 3 6" xfId="2371" xr:uid="{2A6D6DF0-159E-4AFD-88BB-C8578CB33941}"/>
    <cellStyle name="Nota 2 2 3 2 3 6 2" xfId="4685" xr:uid="{03DE84DC-85DC-49CB-9341-C83413642A87}"/>
    <cellStyle name="Nota 2 2 3 2 3 6 3" xfId="6698" xr:uid="{5EB33048-BBBF-4644-897D-48A662CD489B}"/>
    <cellStyle name="Nota 2 2 3 2 3 6 4" xfId="8181" xr:uid="{118E2F1E-E054-4736-A87A-95466FB3FEBD}"/>
    <cellStyle name="Nota 2 2 3 2 3 7" xfId="2802" xr:uid="{E5692206-1D41-43AA-95FD-7C7FC1C16EC0}"/>
    <cellStyle name="Nota 2 2 3 2 3 7 2" xfId="5116" xr:uid="{6018CFCF-53C4-4C55-90EB-3D4974F28935}"/>
    <cellStyle name="Nota 2 2 3 2 3 7 3" xfId="7110" xr:uid="{35A9FEF9-0042-471F-B744-20EEF6AD4146}"/>
    <cellStyle name="Nota 2 2 3 2 3 7 4" xfId="8458" xr:uid="{499FDA0D-E1D8-4C98-9120-88DCA3CC3836}"/>
    <cellStyle name="Nota 2 2 3 2 3 8" xfId="1098" xr:uid="{2B99ACF4-D469-46D7-8825-B5F5DCA5A99E}"/>
    <cellStyle name="Nota 2 2 3 2 3 9" xfId="3453" xr:uid="{FC90ED1E-DA9D-4D44-A4AD-CF708FEB3144}"/>
    <cellStyle name="Nota 2 2 3 2 4" xfId="422" xr:uid="{DF257C9D-253B-4DFF-B27E-06C55758DA39}"/>
    <cellStyle name="Nota 2 2 3 2 4 2" xfId="1898" xr:uid="{5651A7AF-775A-4140-8784-D47175A559F0}"/>
    <cellStyle name="Nota 2 2 3 2 4 2 2" xfId="4212" xr:uid="{477B320B-6B0F-459A-81E3-70C1EE4580E0}"/>
    <cellStyle name="Nota 2 2 3 2 4 2 3" xfId="6258" xr:uid="{43BC1163-3BA4-48D1-9F28-E645C5D1899A}"/>
    <cellStyle name="Nota 2 2 3 2 4 2 4" xfId="7889" xr:uid="{3CA414C4-FC6E-4B63-939C-A812C383C7B6}"/>
    <cellStyle name="Nota 2 2 3 2 4 3" xfId="2355" xr:uid="{45B417D5-1562-4A8C-BD5A-52C6EF627A6B}"/>
    <cellStyle name="Nota 2 2 3 2 4 3 2" xfId="4669" xr:uid="{AD19052C-C5B5-4CF5-886C-3C040312F07D}"/>
    <cellStyle name="Nota 2 2 3 2 4 3 3" xfId="6683" xr:uid="{FD0F6A20-6221-478E-B292-FE8A86888E1D}"/>
    <cellStyle name="Nota 2 2 3 2 4 3 4" xfId="8171" xr:uid="{433CF9DF-D4E2-47AB-A110-9AE1A107DAC5}"/>
    <cellStyle name="Nota 2 2 3 2 4 4" xfId="2769" xr:uid="{870D6411-884F-4458-8F47-F24A3F1A5C63}"/>
    <cellStyle name="Nota 2 2 3 2 4 4 2" xfId="5083" xr:uid="{000614A2-A813-4594-8495-53BA32E80AEB}"/>
    <cellStyle name="Nota 2 2 3 2 4 4 3" xfId="7077" xr:uid="{68EC5536-893C-4B89-9E81-316A7B474D71}"/>
    <cellStyle name="Nota 2 2 3 2 4 4 4" xfId="8438" xr:uid="{7AD6280C-C126-435A-856F-C54C3E3A23DD}"/>
    <cellStyle name="Nota 2 2 3 2 4 5" xfId="3063" xr:uid="{430415A6-3E94-40A5-AC53-81E145FBBA6C}"/>
    <cellStyle name="Nota 2 2 3 2 4 5 2" xfId="5377" xr:uid="{6F67DA30-B323-484E-AA79-BDDF78689E6A}"/>
    <cellStyle name="Nota 2 2 3 2 4 5 3" xfId="7371" xr:uid="{18521FF4-ED1B-4275-AE11-9C174C7E11A6}"/>
    <cellStyle name="Nota 2 2 3 2 4 5 4" xfId="8615" xr:uid="{5E188E92-95B0-4C25-80E2-68C9E1BDF7EF}"/>
    <cellStyle name="Nota 2 2 3 2 4 6" xfId="1270" xr:uid="{DBCD668B-4AB1-4AAB-85A9-7639AB026AEA}"/>
    <cellStyle name="Nota 2 2 3 2 4 7" xfId="3598" xr:uid="{4FEC60FF-CE1C-4827-B496-6D8D601E4E19}"/>
    <cellStyle name="Nota 2 2 3 2 4 8" xfId="5704" xr:uid="{0363DAF1-7C60-409F-A89B-D2F4CC659138}"/>
    <cellStyle name="Nota 2 2 3 2 4 9" xfId="7531" xr:uid="{DBB799F1-64DD-4C55-AEFB-F4696CF02B1A}"/>
    <cellStyle name="Nota 2 2 3 2 5" xfId="566" xr:uid="{E41288DA-CC1A-4AB2-8C25-F1AB6D947579}"/>
    <cellStyle name="Nota 2 2 3 2 5 2" xfId="2024" xr:uid="{3ECE0591-751F-4504-8583-81A653EA918C}"/>
    <cellStyle name="Nota 2 2 3 2 5 2 2" xfId="4338" xr:uid="{1B4BAB14-A61F-403D-A09D-2A206F21E850}"/>
    <cellStyle name="Nota 2 2 3 2 5 2 3" xfId="6379" xr:uid="{EA118389-7674-4B97-8937-C827421876C4}"/>
    <cellStyle name="Nota 2 2 3 2 5 2 4" xfId="7956" xr:uid="{D1BAA945-AD1E-49CB-983C-D251E45D5E1C}"/>
    <cellStyle name="Nota 2 2 3 2 5 3" xfId="2476" xr:uid="{711A77F3-B16F-46C0-B552-610B1FD84A0F}"/>
    <cellStyle name="Nota 2 2 3 2 5 3 2" xfId="4790" xr:uid="{2FAD92A0-3E81-4981-9AF0-72E0A4FED07F}"/>
    <cellStyle name="Nota 2 2 3 2 5 3 3" xfId="6800" xr:uid="{94A98332-AB34-40A8-88F5-52891F70ED63}"/>
    <cellStyle name="Nota 2 2 3 2 5 3 4" xfId="8236" xr:uid="{4964FE2D-ED54-4DCE-AB2E-441372E9F03E}"/>
    <cellStyle name="Nota 2 2 3 2 5 4" xfId="2881" xr:uid="{63928474-2F53-4BA5-A458-31FA2114CAA6}"/>
    <cellStyle name="Nota 2 2 3 2 5 4 2" xfId="5195" xr:uid="{B23AB037-CECF-45C5-A6AD-011E8B5510AF}"/>
    <cellStyle name="Nota 2 2 3 2 5 4 3" xfId="7189" xr:uid="{CF399A00-956E-43F0-9D8C-9583CDB7B230}"/>
    <cellStyle name="Nota 2 2 3 2 5 4 4" xfId="8494" xr:uid="{D4E6B295-7429-4B3B-83E6-6C5C704B5973}"/>
    <cellStyle name="Nota 2 2 3 2 5 5" xfId="3108" xr:uid="{C932BB7C-4F9D-4C2B-BE40-6A8FE6BA4C6F}"/>
    <cellStyle name="Nota 2 2 3 2 5 5 2" xfId="5422" xr:uid="{353C6A72-25FF-49B2-A225-53F417B2535D}"/>
    <cellStyle name="Nota 2 2 3 2 5 5 3" xfId="7416" xr:uid="{712767AC-B465-437E-98D2-7D7D08DFCA31}"/>
    <cellStyle name="Nota 2 2 3 2 5 5 4" xfId="8660" xr:uid="{467BCB55-0805-491D-B2CF-B64FEEB07EA2}"/>
    <cellStyle name="Nota 2 2 3 2 5 6" xfId="1414" xr:uid="{C3DD41E8-22FB-49C6-89E9-D794D5E8D789}"/>
    <cellStyle name="Nota 2 2 3 2 5 7" xfId="3730" xr:uid="{7B67B307-EE15-4E75-B58C-9660C9F035AE}"/>
    <cellStyle name="Nota 2 2 3 2 5 8" xfId="5820" xr:uid="{72706C84-40A0-4664-973D-4300245E0013}"/>
    <cellStyle name="Nota 2 2 3 2 5 9" xfId="7585" xr:uid="{D8E61E15-D232-4460-A2A9-A0E99F19024B}"/>
    <cellStyle name="Nota 2 2 3 2 6" xfId="664" xr:uid="{70E3237B-6220-43AE-A320-08D02CB6C6B4}"/>
    <cellStyle name="Nota 2 2 3 2 6 2" xfId="2122" xr:uid="{DBE3A909-23D5-47A3-85AD-397609B31F14}"/>
    <cellStyle name="Nota 2 2 3 2 6 2 2" xfId="4436" xr:uid="{4FB182B7-6885-4748-ACFF-B2F8D44AC051}"/>
    <cellStyle name="Nota 2 2 3 2 6 2 3" xfId="6464" xr:uid="{47145ECE-F08A-42B5-972E-3DEB03569BA6}"/>
    <cellStyle name="Nota 2 2 3 2 6 2 4" xfId="8031" xr:uid="{95A2604A-C68C-4F28-AC8E-5F276EBE7CA6}"/>
    <cellStyle name="Nota 2 2 3 2 6 3" xfId="2574" xr:uid="{745A564E-EA23-4060-B56C-453E98BBDF3F}"/>
    <cellStyle name="Nota 2 2 3 2 6 3 2" xfId="4888" xr:uid="{EDAC2747-0BF3-4AD1-AA0C-AE9B00ED8EEA}"/>
    <cellStyle name="Nota 2 2 3 2 6 3 3" xfId="6886" xr:uid="{B7339E8D-E3E1-4509-95D5-8390C8EF6C2B}"/>
    <cellStyle name="Nota 2 2 3 2 6 3 4" xfId="8311" xr:uid="{B47B99D0-4639-4275-9F06-A43F10996299}"/>
    <cellStyle name="Nota 2 2 3 2 6 4" xfId="2960" xr:uid="{0F57B9E5-69B3-42B1-A4DA-F2F0A85FC56E}"/>
    <cellStyle name="Nota 2 2 3 2 6 4 2" xfId="5274" xr:uid="{59398200-C7E4-469D-9280-288D9D2140E3}"/>
    <cellStyle name="Nota 2 2 3 2 6 4 3" xfId="7268" xr:uid="{82F6E20E-23C6-4ACD-9684-D246CDF0B2BC}"/>
    <cellStyle name="Nota 2 2 3 2 6 4 4" xfId="8550" xr:uid="{6F2CF6E9-A2CF-4BDE-AD24-C878BFA17AB6}"/>
    <cellStyle name="Nota 2 2 3 2 6 5" xfId="3162" xr:uid="{8687CE3D-A5E8-427C-AE8E-C8C8BE1F566B}"/>
    <cellStyle name="Nota 2 2 3 2 6 5 2" xfId="5476" xr:uid="{BDD2F9EC-B883-4387-8FEE-42B301546E7B}"/>
    <cellStyle name="Nota 2 2 3 2 6 5 3" xfId="7470" xr:uid="{E6FA1060-3D15-49FF-999C-7E8A39ED5B36}"/>
    <cellStyle name="Nota 2 2 3 2 6 5 4" xfId="8714" xr:uid="{BE75C6B2-705E-4846-AC21-F1D60068D112}"/>
    <cellStyle name="Nota 2 2 3 2 6 6" xfId="1512" xr:uid="{342011D8-FC97-4D3D-A5C7-7632EA0517F5}"/>
    <cellStyle name="Nota 2 2 3 2 6 7" xfId="3828" xr:uid="{89F8A4DF-410E-4588-A42E-69FC819B9893}"/>
    <cellStyle name="Nota 2 2 3 2 6 8" xfId="5903" xr:uid="{DF950934-4639-4453-8D56-8E9343B108D3}"/>
    <cellStyle name="Nota 2 2 3 2 6 9" xfId="7660" xr:uid="{E392208D-5DDD-455A-B453-BEC83B8AEDF4}"/>
    <cellStyle name="Nota 2 2 3 2 7" xfId="960" xr:uid="{3D304E15-CBBF-403D-AE5A-0BF89ACE8F54}"/>
    <cellStyle name="Nota 2 2 3 2 7 2" xfId="3338" xr:uid="{0990D29C-8B06-47AC-9F4A-7043D68B022B}"/>
    <cellStyle name="Nota 2 2 3 2 7 3" xfId="3581" xr:uid="{EA5C802B-90F1-4CF9-BF04-C9EBDA4A1A37}"/>
    <cellStyle name="Nota 2 2 3 2 7 4" xfId="808" xr:uid="{F0ADE163-DF8D-4062-8B5A-0EFBA20EB1D7}"/>
    <cellStyle name="Nota 2 2 3 2 8" xfId="1650" xr:uid="{220A5CBA-FC9D-4D04-AEF8-36A82B77B417}"/>
    <cellStyle name="Nota 2 2 3 2 8 2" xfId="3964" xr:uid="{3B9C71CB-279C-44C1-8C1D-39F007D293E7}"/>
    <cellStyle name="Nota 2 2 3 2 8 3" xfId="6022" xr:uid="{00E45CF4-2EA3-4F4F-B929-42032B4B7F46}"/>
    <cellStyle name="Nota 2 2 3 2 8 4" xfId="7743" xr:uid="{A90B97CE-A68F-49DB-8AB3-CD0B26F2FFBA}"/>
    <cellStyle name="Nota 2 2 3 2 9" xfId="1640" xr:uid="{EC7F7706-EFCB-4A49-9FCD-075E9C1F0438}"/>
    <cellStyle name="Nota 2 2 3 2 9 2" xfId="3954" xr:uid="{6FD279D6-164D-4C5C-B8C7-3C7673E95983}"/>
    <cellStyle name="Nota 2 2 3 2 9 3" xfId="6014" xr:uid="{9B0E45DF-276A-4338-99B0-E3D66C19A307}"/>
    <cellStyle name="Nota 2 2 3 2 9 4" xfId="7735" xr:uid="{5F7A548E-40BC-4185-A23D-F4CE15C4153F}"/>
    <cellStyle name="Nota 2 2 3 3" xfId="147" xr:uid="{3B87D554-3952-4656-A927-47B31177A946}"/>
    <cellStyle name="Nota 2 2 3 3 10" xfId="3369" xr:uid="{082492F7-F074-4151-BF39-C0EBB2D02ADC}"/>
    <cellStyle name="Nota 2 2 3 3 11" xfId="3647" xr:uid="{138B9E3C-81D0-4487-A4DE-D044A30B9FC0}"/>
    <cellStyle name="Nota 2 2 3 3 12" xfId="3641" xr:uid="{A36BDC92-28F1-4C10-BCAF-054D78FD05EF}"/>
    <cellStyle name="Nota 2 2 3 3 2" xfId="285" xr:uid="{514CC17D-2213-46DA-8DC5-9D265239B7AE}"/>
    <cellStyle name="Nota 2 2 3 3 2 10" xfId="5604" xr:uid="{E421DC24-5A8C-4EA3-8E28-D270916EE723}"/>
    <cellStyle name="Nota 2 2 3 3 2 11" xfId="3436" xr:uid="{8064ED28-B0D8-49EB-AB8C-9D3EF503E6D6}"/>
    <cellStyle name="Nota 2 2 3 3 2 2" xfId="655" xr:uid="{83787939-EF43-414E-865B-149991405071}"/>
    <cellStyle name="Nota 2 2 3 3 2 2 2" xfId="2113" xr:uid="{DD8F2F56-9609-40B7-A015-640ADCF5638D}"/>
    <cellStyle name="Nota 2 2 3 3 2 2 2 2" xfId="4427" xr:uid="{545050EB-4B9D-4C45-B140-F3010E0E1C74}"/>
    <cellStyle name="Nota 2 2 3 3 2 2 2 3" xfId="6458" xr:uid="{F6755161-F03F-4954-8956-C6A60154B1E9}"/>
    <cellStyle name="Nota 2 2 3 3 2 2 2 4" xfId="8022" xr:uid="{F9BAFEA4-2994-490F-B36D-CE6EF7B50980}"/>
    <cellStyle name="Nota 2 2 3 3 2 2 3" xfId="2565" xr:uid="{E21C3FA5-9F9C-4AE0-A198-EDDB7288B440}"/>
    <cellStyle name="Nota 2 2 3 3 2 2 3 2" xfId="4879" xr:uid="{AB4EE1FA-2868-4D6A-9B30-16C9D4A51889}"/>
    <cellStyle name="Nota 2 2 3 3 2 2 3 3" xfId="6879" xr:uid="{2EC2C6D3-FE84-4F4F-A7EF-EEF52034CFAC}"/>
    <cellStyle name="Nota 2 2 3 3 2 2 3 4" xfId="8302" xr:uid="{E9ED2953-175F-4E21-809A-1FE7B999B72E}"/>
    <cellStyle name="Nota 2 2 3 3 2 2 4" xfId="2955" xr:uid="{44A3AED3-C271-4FDC-A617-1657ADE8A6BA}"/>
    <cellStyle name="Nota 2 2 3 3 2 2 4 2" xfId="5269" xr:uid="{6846AA5F-7E51-444B-B348-249550DEBBF8}"/>
    <cellStyle name="Nota 2 2 3 3 2 2 4 3" xfId="7263" xr:uid="{E42BD986-51CA-439D-B290-D934FCA72D24}"/>
    <cellStyle name="Nota 2 2 3 3 2 2 4 4" xfId="8545" xr:uid="{FC0E3750-0A6A-4041-AFD3-0559F4C1158C}"/>
    <cellStyle name="Nota 2 2 3 3 2 2 5" xfId="3158" xr:uid="{60CA4842-C6E4-4CB3-92B3-F5333FAC5A1B}"/>
    <cellStyle name="Nota 2 2 3 3 2 2 5 2" xfId="5472" xr:uid="{25902A4B-9F95-4BB2-9D96-B47A1C0E5642}"/>
    <cellStyle name="Nota 2 2 3 3 2 2 5 3" xfId="7466" xr:uid="{990285AE-3DDA-4858-9383-77CD83E3F75C}"/>
    <cellStyle name="Nota 2 2 3 3 2 2 5 4" xfId="8710" xr:uid="{DB442C32-C516-4E19-96CB-7A2EA7FED6CC}"/>
    <cellStyle name="Nota 2 2 3 3 2 2 6" xfId="1503" xr:uid="{85F8D2C4-89C3-48BE-ABC7-C3FDE0DC4B3F}"/>
    <cellStyle name="Nota 2 2 3 3 2 2 7" xfId="3819" xr:uid="{65E3E631-E102-4DAE-864F-808E5C570749}"/>
    <cellStyle name="Nota 2 2 3 3 2 2 8" xfId="5897" xr:uid="{6DB8812F-2A8C-48DF-965D-D5867539895A}"/>
    <cellStyle name="Nota 2 2 3 3 2 2 9" xfId="7651" xr:uid="{F4D9599A-0555-4FFF-B1CC-0CE8FCDC7249}"/>
    <cellStyle name="Nota 2 2 3 3 2 3" xfId="730" xr:uid="{F6947BC6-14B3-4F22-9E0F-DAB4256A32FF}"/>
    <cellStyle name="Nota 2 2 3 3 2 3 2" xfId="2188" xr:uid="{7D1977D4-6079-47CD-B0D4-56EBFEF354C1}"/>
    <cellStyle name="Nota 2 2 3 3 2 3 2 2" xfId="4502" xr:uid="{9DA5C26B-6610-4106-B311-035FC69ADB67}"/>
    <cellStyle name="Nota 2 2 3 3 2 3 2 3" xfId="6524" xr:uid="{19D92F05-E21F-40AD-962C-56E4D7C3D1D6}"/>
    <cellStyle name="Nota 2 2 3 3 2 3 2 4" xfId="8075" xr:uid="{E2F3B614-A8DC-4394-A126-96D44E17A517}"/>
    <cellStyle name="Nota 2 2 3 3 2 3 3" xfId="2640" xr:uid="{1DB1ED82-D101-43DA-9DDC-506A52EC4CE6}"/>
    <cellStyle name="Nota 2 2 3 3 2 3 3 2" xfId="4954" xr:uid="{399D0385-ECC6-44E5-83B7-F0AF32DEFD4D}"/>
    <cellStyle name="Nota 2 2 3 3 2 3 3 3" xfId="6948" xr:uid="{BD4372A0-C177-48EE-B6B3-DD860DC56C6B}"/>
    <cellStyle name="Nota 2 2 3 3 2 3 3 4" xfId="8355" xr:uid="{A30A4524-949A-48C7-8805-B36013CF19EF}"/>
    <cellStyle name="Nota 2 2 3 3 2 3 4" xfId="3015" xr:uid="{45141059-EF40-4E3A-B28E-155506266619}"/>
    <cellStyle name="Nota 2 2 3 3 2 3 4 2" xfId="5329" xr:uid="{498408B5-AF5E-479A-B92E-E37891B33D49}"/>
    <cellStyle name="Nota 2 2 3 3 2 3 4 3" xfId="7323" xr:uid="{81ACCE62-4DD1-4DB6-8D23-2C1C13A4DCC0}"/>
    <cellStyle name="Nota 2 2 3 3 2 3 4 4" xfId="8583" xr:uid="{182BDAFC-23D8-40BC-99B3-E2B15A1027A8}"/>
    <cellStyle name="Nota 2 2 3 3 2 3 5" xfId="3195" xr:uid="{8DF22D5E-E0B3-4343-97D5-B327801A5B05}"/>
    <cellStyle name="Nota 2 2 3 3 2 3 5 2" xfId="5509" xr:uid="{CB4C29DA-F5C4-4416-9D9B-9C8C255283D4}"/>
    <cellStyle name="Nota 2 2 3 3 2 3 5 3" xfId="7503" xr:uid="{1EC4A1E4-369B-4FFD-98ED-7E51381FAFE1}"/>
    <cellStyle name="Nota 2 2 3 3 2 3 5 4" xfId="8747" xr:uid="{2CDA6F6B-5B8A-42B6-83FE-C70C59C5A2CB}"/>
    <cellStyle name="Nota 2 2 3 3 2 3 6" xfId="1578" xr:uid="{C690FEF5-1E9D-46B5-A5E5-0AFB469F7351}"/>
    <cellStyle name="Nota 2 2 3 3 2 3 7" xfId="3894" xr:uid="{5467E72A-F4D6-4CEB-91B0-4FBDD8F59CDA}"/>
    <cellStyle name="Nota 2 2 3 3 2 3 8" xfId="5961" xr:uid="{78399D42-0D6E-4AC3-AE4E-99C370CADCDA}"/>
    <cellStyle name="Nota 2 2 3 3 2 3 9" xfId="7704" xr:uid="{7B32C876-1E89-4A81-9493-F39BBB9C9FE7}"/>
    <cellStyle name="Nota 2 2 3 3 2 4" xfId="1779" xr:uid="{95762A30-CFCE-4E13-85A9-A6007E5494E6}"/>
    <cellStyle name="Nota 2 2 3 3 2 4 2" xfId="4093" xr:uid="{862C60CB-9F23-48E8-9E51-F2B696682D59}"/>
    <cellStyle name="Nota 2 2 3 3 2 4 3" xfId="6142" xr:uid="{E84D969C-07F9-421C-BE71-6BCA73984CD3}"/>
    <cellStyle name="Nota 2 2 3 3 2 4 4" xfId="7821" xr:uid="{B31F35E9-F2B8-4A7C-8507-EEBBE927D5AB}"/>
    <cellStyle name="Nota 2 2 3 3 2 5" xfId="2239" xr:uid="{35D7E89E-CC1D-4BF3-88CE-10078D8421F5}"/>
    <cellStyle name="Nota 2 2 3 3 2 5 2" xfId="4553" xr:uid="{52881C2F-46A6-4491-97DC-D8BE15758232}"/>
    <cellStyle name="Nota 2 2 3 3 2 5 3" xfId="6575" xr:uid="{F782948F-244B-4CE5-9575-E8442D9730D1}"/>
    <cellStyle name="Nota 2 2 3 3 2 5 4" xfId="8104" xr:uid="{5A01A48F-C41A-494B-A81A-8E47109646FB}"/>
    <cellStyle name="Nota 2 2 3 3 2 6" xfId="2683" xr:uid="{2ADC7443-51D0-45A4-85E5-8A2C9F65F031}"/>
    <cellStyle name="Nota 2 2 3 3 2 6 2" xfId="4997" xr:uid="{D32A4D6F-D58A-4927-9526-A4EF2AE867D7}"/>
    <cellStyle name="Nota 2 2 3 3 2 6 3" xfId="6991" xr:uid="{2EBC20B4-286D-45B2-9377-9689446A0519}"/>
    <cellStyle name="Nota 2 2 3 3 2 6 4" xfId="8382" xr:uid="{1F824227-A711-4B7D-B410-8F20908D71F8}"/>
    <cellStyle name="Nota 2 2 3 3 2 7" xfId="1618" xr:uid="{CCCEFC19-ED1C-4D9C-A3E6-957658709B0E}"/>
    <cellStyle name="Nota 2 2 3 3 2 7 2" xfId="3932" xr:uid="{88F4A011-B2EF-475E-9CC6-1C0067B4F362}"/>
    <cellStyle name="Nota 2 2 3 3 2 7 3" xfId="5995" xr:uid="{977E69FF-8746-4D37-A297-4F3127BBE706}"/>
    <cellStyle name="Nota 2 2 3 3 2 7 4" xfId="7719" xr:uid="{432400D9-2333-4967-9512-4DC113AC0818}"/>
    <cellStyle name="Nota 2 2 3 3 2 8" xfId="1133" xr:uid="{ADD462C0-1128-47CC-BF93-980E22C9507B}"/>
    <cellStyle name="Nota 2 2 3 3 2 9" xfId="3484" xr:uid="{CF8664A2-34B0-4E89-A23B-AC415565546D}"/>
    <cellStyle name="Nota 2 2 3 3 3" xfId="458" xr:uid="{0327E37C-BD4E-479E-9D89-6B054E942865}"/>
    <cellStyle name="Nota 2 2 3 3 3 2" xfId="1927" xr:uid="{6E0B1A70-438E-40FA-9830-63A1FD0FD2EC}"/>
    <cellStyle name="Nota 2 2 3 3 3 2 2" xfId="4241" xr:uid="{D05AC50D-4B12-408C-B367-7B8CE68BEEA2}"/>
    <cellStyle name="Nota 2 2 3 3 3 2 3" xfId="6286" xr:uid="{29B3FA82-C951-427C-8FDB-5123ED5ED804}"/>
    <cellStyle name="Nota 2 2 3 3 3 2 4" xfId="7908" xr:uid="{83676FE8-819D-4017-9918-7B0E205F5D23}"/>
    <cellStyle name="Nota 2 2 3 3 3 3" xfId="2382" xr:uid="{804E2962-A375-40B2-A582-DEF655ED56FB}"/>
    <cellStyle name="Nota 2 2 3 3 3 3 2" xfId="4696" xr:uid="{092F55EE-505B-43F4-AF89-DF736365303A}"/>
    <cellStyle name="Nota 2 2 3 3 3 3 3" xfId="6709" xr:uid="{0D77712D-7957-4186-9D7A-D1C68E10A2B8}"/>
    <cellStyle name="Nota 2 2 3 3 3 3 4" xfId="8189" xr:uid="{1122CD34-5A00-46CF-9F9D-CCA3EDA11AB1}"/>
    <cellStyle name="Nota 2 2 3 3 3 4" xfId="2793" xr:uid="{24E4DE9F-626C-4BC5-8F97-00195F8C00C0}"/>
    <cellStyle name="Nota 2 2 3 3 3 4 2" xfId="5107" xr:uid="{0F4EE290-84B3-47E3-AF05-FE704B709DE0}"/>
    <cellStyle name="Nota 2 2 3 3 3 4 3" xfId="7101" xr:uid="{1B61DAE0-222E-4FB9-841C-FC8F3D89506B}"/>
    <cellStyle name="Nota 2 2 3 3 3 4 4" xfId="8453" xr:uid="{66920487-8894-44AC-B5DB-0B4C995BE0AE}"/>
    <cellStyle name="Nota 2 2 3 3 3 5" xfId="3075" xr:uid="{3139F716-8EA3-4998-AEFC-9AB38EAD378C}"/>
    <cellStyle name="Nota 2 2 3 3 3 5 2" xfId="5389" xr:uid="{6F6DC019-BB66-4443-83BF-37543A5DAFB0}"/>
    <cellStyle name="Nota 2 2 3 3 3 5 3" xfId="7383" xr:uid="{8998E06A-6AF9-42A7-955D-BBFE78F0C3A6}"/>
    <cellStyle name="Nota 2 2 3 3 3 5 4" xfId="8627" xr:uid="{A3754795-CAA4-420A-9ABE-7707DA253860}"/>
    <cellStyle name="Nota 2 2 3 3 3 6" xfId="1306" xr:uid="{3818F878-6998-4BAB-B391-60FB380AEDCE}"/>
    <cellStyle name="Nota 2 2 3 3 3 7" xfId="3631" xr:uid="{AE7BF016-F102-424D-93B8-ED565CDEA878}"/>
    <cellStyle name="Nota 2 2 3 3 3 8" xfId="5730" xr:uid="{72133CE1-6E67-484B-B518-7C91FA7A1D93}"/>
    <cellStyle name="Nota 2 2 3 3 3 9" xfId="7545" xr:uid="{2006106F-472C-4148-BFCD-D1165BA355EF}"/>
    <cellStyle name="Nota 2 2 3 3 4" xfId="590" xr:uid="{F0039CFE-91E7-4509-A11E-37C5743163CB}"/>
    <cellStyle name="Nota 2 2 3 3 4 2" xfId="2048" xr:uid="{55748C64-ACCB-436B-BA65-D3F6ECDDF372}"/>
    <cellStyle name="Nota 2 2 3 3 4 2 2" xfId="4362" xr:uid="{0B71C1EC-4E41-47A1-B7BC-53DE5BF22964}"/>
    <cellStyle name="Nota 2 2 3 3 4 2 3" xfId="6403" xr:uid="{B37757CC-5086-460C-A2AD-83A118EB5AAB}"/>
    <cellStyle name="Nota 2 2 3 3 4 2 4" xfId="7970" xr:uid="{0CB165F8-A193-4AF2-9D45-9E8501EB34F7}"/>
    <cellStyle name="Nota 2 2 3 3 4 3" xfId="2500" xr:uid="{A3626A4F-BCE0-4C16-9E1C-A9AC3CCBA4C2}"/>
    <cellStyle name="Nota 2 2 3 3 4 3 2" xfId="4814" xr:uid="{D5C63930-DCAE-4080-9E90-073004C3DC6D}"/>
    <cellStyle name="Nota 2 2 3 3 4 3 3" xfId="6824" xr:uid="{B70C759D-E5DC-47C2-8391-D1DB51F1E02A}"/>
    <cellStyle name="Nota 2 2 3 3 4 3 4" xfId="8250" xr:uid="{0DDF9D89-48FA-4C1B-9249-132F943E64C9}"/>
    <cellStyle name="Nota 2 2 3 3 4 4" xfId="2905" xr:uid="{137D9BAE-B2C8-4D58-A642-B659E7623C5E}"/>
    <cellStyle name="Nota 2 2 3 3 4 4 2" xfId="5219" xr:uid="{7D317EE9-D209-49A2-8BD5-8D3558A92F8B}"/>
    <cellStyle name="Nota 2 2 3 3 4 4 3" xfId="7213" xr:uid="{E68C5051-6002-4322-8630-4D239083BA30}"/>
    <cellStyle name="Nota 2 2 3 3 4 4 4" xfId="8508" xr:uid="{822823EC-38A1-4282-B208-7BCC758E0F84}"/>
    <cellStyle name="Nota 2 2 3 3 4 5" xfId="3122" xr:uid="{428CAA02-2657-4A7D-996A-E00B2108F10D}"/>
    <cellStyle name="Nota 2 2 3 3 4 5 2" xfId="5436" xr:uid="{34652612-BA67-461D-AFDD-211F85F4C791}"/>
    <cellStyle name="Nota 2 2 3 3 4 5 3" xfId="7430" xr:uid="{6FCB5407-0285-4FF2-988B-78537C01D35D}"/>
    <cellStyle name="Nota 2 2 3 3 4 5 4" xfId="8674" xr:uid="{A12A8451-3158-498F-9168-81AEE6FDC6A8}"/>
    <cellStyle name="Nota 2 2 3 3 4 6" xfId="1438" xr:uid="{B502861E-CF11-40BF-A653-07E8B1D5D94B}"/>
    <cellStyle name="Nota 2 2 3 3 4 7" xfId="3754" xr:uid="{D0813CBE-43EC-461A-B1F7-A64D96D9173C}"/>
    <cellStyle name="Nota 2 2 3 3 4 8" xfId="5844" xr:uid="{4B8338DA-02DA-41D1-AB18-691985E100BE}"/>
    <cellStyle name="Nota 2 2 3 3 4 9" xfId="7599" xr:uid="{37EBE7B0-330E-40F6-943D-476B794297B7}"/>
    <cellStyle name="Nota 2 2 3 3 5" xfId="598" xr:uid="{07BBA98C-4375-49B2-B186-187A16C7AA37}"/>
    <cellStyle name="Nota 2 2 3 3 5 2" xfId="2056" xr:uid="{2A2C0064-1B93-425C-894F-5594438CB85C}"/>
    <cellStyle name="Nota 2 2 3 3 5 2 2" xfId="4370" xr:uid="{249F93C3-C0BA-48A3-B592-202ED4988A04}"/>
    <cellStyle name="Nota 2 2 3 3 5 2 3" xfId="6411" xr:uid="{4CFB2106-3192-40E9-9132-38E678C8B3D1}"/>
    <cellStyle name="Nota 2 2 3 3 5 2 4" xfId="7973" xr:uid="{C328656C-8F95-4B0F-9107-F30F1B3343B8}"/>
    <cellStyle name="Nota 2 2 3 3 5 3" xfId="2508" xr:uid="{FC03D098-BDA6-40E7-9B29-3577C75FA067}"/>
    <cellStyle name="Nota 2 2 3 3 5 3 2" xfId="4822" xr:uid="{7A371AA6-81D2-42F8-B324-B6171649E6FA}"/>
    <cellStyle name="Nota 2 2 3 3 5 3 3" xfId="6832" xr:uid="{741F094C-55D5-4818-B0D8-1131E113EB1D}"/>
    <cellStyle name="Nota 2 2 3 3 5 3 4" xfId="8253" xr:uid="{6CB7BB70-8991-4FCC-AA76-CC6E0EE2EF34}"/>
    <cellStyle name="Nota 2 2 3 3 5 4" xfId="2913" xr:uid="{D5F39A82-EBAB-4B97-9287-749CF6CD0993}"/>
    <cellStyle name="Nota 2 2 3 3 5 4 2" xfId="5227" xr:uid="{4A550DCB-563B-40C3-953D-9E0879688962}"/>
    <cellStyle name="Nota 2 2 3 3 5 4 3" xfId="7221" xr:uid="{9FC54FBE-4F00-41DD-A88B-C5727CA72A47}"/>
    <cellStyle name="Nota 2 2 3 3 5 4 4" xfId="8511" xr:uid="{4354F2B5-4E39-484D-BCA6-D9CD4361FD92}"/>
    <cellStyle name="Nota 2 2 3 3 5 5" xfId="3125" xr:uid="{632A6E43-5835-400E-9E71-C1F5426726E6}"/>
    <cellStyle name="Nota 2 2 3 3 5 5 2" xfId="5439" xr:uid="{D58B0CBB-46C1-4D58-A221-E71F8573E5C5}"/>
    <cellStyle name="Nota 2 2 3 3 5 5 3" xfId="7433" xr:uid="{2F6F137F-B859-4A45-A684-7D03F7B85BDD}"/>
    <cellStyle name="Nota 2 2 3 3 5 5 4" xfId="8677" xr:uid="{3CD04BEB-E6F5-43E6-8486-64AEF399C468}"/>
    <cellStyle name="Nota 2 2 3 3 5 6" xfId="1446" xr:uid="{844BBDAD-9D72-4DF7-9AEA-92EEE01FD3A3}"/>
    <cellStyle name="Nota 2 2 3 3 5 7" xfId="3762" xr:uid="{A969E8B5-1A7F-4AF2-BD30-E5CB4E200440}"/>
    <cellStyle name="Nota 2 2 3 3 5 8" xfId="5852" xr:uid="{F76932C9-CEE1-4CE3-89FA-4D8279BF7824}"/>
    <cellStyle name="Nota 2 2 3 3 5 9" xfId="7602" xr:uid="{27930CF4-F061-498F-A0BB-A12A2E7B86D0}"/>
    <cellStyle name="Nota 2 2 3 3 6" xfId="1679" xr:uid="{194A17A5-5A36-4EA8-8328-6F1D78C383CF}"/>
    <cellStyle name="Nota 2 2 3 3 6 2" xfId="3993" xr:uid="{74EBD83D-E12E-472C-8F66-35601A0FF09C}"/>
    <cellStyle name="Nota 2 2 3 3 6 3" xfId="6049" xr:uid="{0BDDCA83-CEA2-41BB-AE62-7FD79E0BDD21}"/>
    <cellStyle name="Nota 2 2 3 3 6 4" xfId="7761" xr:uid="{5AE66105-A8E4-4E69-91D5-7A5AC1A1382F}"/>
    <cellStyle name="Nota 2 2 3 3 7" xfId="1963" xr:uid="{02B8DC12-4865-438A-AC46-8A117866CE59}"/>
    <cellStyle name="Nota 2 2 3 3 7 2" xfId="4277" xr:uid="{DCCF7F44-A8DB-474F-A59E-3F764DD71E57}"/>
    <cellStyle name="Nota 2 2 3 3 7 3" xfId="6319" xr:uid="{24BD21D7-FA84-44FF-A0C0-B3E9647B5D86}"/>
    <cellStyle name="Nota 2 2 3 3 7 4" xfId="7933" xr:uid="{AE293A96-7A5E-4322-9B3F-7F8C2B16A476}"/>
    <cellStyle name="Nota 2 2 3 3 8" xfId="2945" xr:uid="{BB818073-95A0-40AD-9D7D-60632EDCC158}"/>
    <cellStyle name="Nota 2 2 3 3 8 2" xfId="5259" xr:uid="{59FFC85B-CAA3-4E0C-8888-5511A9243887}"/>
    <cellStyle name="Nota 2 2 3 3 8 3" xfId="7253" xr:uid="{5FECC020-DDD7-48AE-9161-F7EAE02C3B2A}"/>
    <cellStyle name="Nota 2 2 3 3 8 4" xfId="8537" xr:uid="{418C6854-FB7D-4FF5-83A4-2DEB01022ED2}"/>
    <cellStyle name="Nota 2 2 3 3 9" xfId="996" xr:uid="{4279F02B-9800-4655-9398-0409C66CE2F8}"/>
    <cellStyle name="Nota 2 2 3 4" xfId="215" xr:uid="{43239E05-B139-4BD6-8979-F676C0788B22}"/>
    <cellStyle name="Nota 2 2 3 4 10" xfId="5557" xr:uid="{DAA57322-2F3C-48B7-A12C-F41873BA8A23}"/>
    <cellStyle name="Nota 2 2 3 4 11" xfId="5563" xr:uid="{444B24AD-C4A3-4C07-8913-76975B943FB1}"/>
    <cellStyle name="Nota 2 2 3 4 2" xfId="613" xr:uid="{ED0A7083-0D6D-4BF2-9D7D-FAF4720A1B3F}"/>
    <cellStyle name="Nota 2 2 3 4 2 2" xfId="2071" xr:uid="{2C71D6CE-3DC7-4A95-82D3-E3841911C35C}"/>
    <cellStyle name="Nota 2 2 3 4 2 2 2" xfId="4385" xr:uid="{5E743372-264B-44B5-AF78-D0050A6B9B25}"/>
    <cellStyle name="Nota 2 2 3 4 2 2 3" xfId="6425" xr:uid="{43D007E6-E9FC-482D-9E5F-2F30DD486C51}"/>
    <cellStyle name="Nota 2 2 3 4 2 2 4" xfId="7983" xr:uid="{E79C9BED-41F2-43B1-81C1-4C2A5885D8D7}"/>
    <cellStyle name="Nota 2 2 3 4 2 3" xfId="2523" xr:uid="{1200B4E5-C666-40F5-8570-98A0BE638FB7}"/>
    <cellStyle name="Nota 2 2 3 4 2 3 2" xfId="4837" xr:uid="{27933A16-44AF-4225-BFB1-095A81882DE7}"/>
    <cellStyle name="Nota 2 2 3 4 2 3 3" xfId="6846" xr:uid="{1E57255E-2597-459D-9319-DD93182A2DA9}"/>
    <cellStyle name="Nota 2 2 3 4 2 3 4" xfId="8263" xr:uid="{AF244B0C-39BF-43E9-BFB0-BD4B7459DAB2}"/>
    <cellStyle name="Nota 2 2 3 4 2 4" xfId="2926" xr:uid="{AAD2636F-A14F-4D7F-8DCD-89177D2ECEE5}"/>
    <cellStyle name="Nota 2 2 3 4 2 4 2" xfId="5240" xr:uid="{4D8E4378-8DAC-4B31-9964-1AE4F7E21DA6}"/>
    <cellStyle name="Nota 2 2 3 4 2 4 3" xfId="7234" xr:uid="{0C67AB48-98AC-414C-9963-88005D8E12D2}"/>
    <cellStyle name="Nota 2 2 3 4 2 4 4" xfId="8519" xr:uid="{0CA10361-B85D-4FB1-AFB1-73C5988974F0}"/>
    <cellStyle name="Nota 2 2 3 4 2 5" xfId="3133" xr:uid="{3CE54F26-74BD-47D6-ACAC-17F6832EF39A}"/>
    <cellStyle name="Nota 2 2 3 4 2 5 2" xfId="5447" xr:uid="{1894269B-53A8-422E-B4B9-ACAD0F2554D9}"/>
    <cellStyle name="Nota 2 2 3 4 2 5 3" xfId="7441" xr:uid="{5BD503FE-A2F9-4CDC-A922-3D54A5119861}"/>
    <cellStyle name="Nota 2 2 3 4 2 5 4" xfId="8685" xr:uid="{4F6CECDE-8733-4AE2-BC73-6AACA2941CAB}"/>
    <cellStyle name="Nota 2 2 3 4 2 6" xfId="1461" xr:uid="{1C342172-D024-41CC-90AA-E19FC0F26CC2}"/>
    <cellStyle name="Nota 2 2 3 4 2 7" xfId="3777" xr:uid="{E1F1ECBE-E258-4008-9629-684538049BBF}"/>
    <cellStyle name="Nota 2 2 3 4 2 8" xfId="5866" xr:uid="{D8365619-753D-4C24-92F2-906A1FF29763}"/>
    <cellStyle name="Nota 2 2 3 4 2 9" xfId="7612" xr:uid="{7F84AA3F-A9EB-486F-9216-723C43E1AE9A}"/>
    <cellStyle name="Nota 2 2 3 4 3" xfId="369" xr:uid="{0BECD1CF-D2FF-41D1-9CDD-4E97112D07E0}"/>
    <cellStyle name="Nota 2 2 3 4 3 2" xfId="1854" xr:uid="{A4E0526C-4B44-4A25-8765-1E24D682461B}"/>
    <cellStyle name="Nota 2 2 3 4 3 2 2" xfId="4168" xr:uid="{48F0CD39-AE8D-4849-B9A5-CAEFCD2B615E}"/>
    <cellStyle name="Nota 2 2 3 4 3 2 3" xfId="6217" xr:uid="{96441226-5BC2-4C4E-A68E-F57A6DE8F5F5}"/>
    <cellStyle name="Nota 2 2 3 4 3 2 4" xfId="7855" xr:uid="{DE21F115-B03F-49DF-B0B4-6FF72C8F725E}"/>
    <cellStyle name="Nota 2 2 3 4 3 3" xfId="2310" xr:uid="{48ADB710-33AD-4F54-A1D8-70071FBF4082}"/>
    <cellStyle name="Nota 2 2 3 4 3 3 2" xfId="4624" xr:uid="{B82A1184-EDB4-4FDD-B2A1-EB29D6FB6E55}"/>
    <cellStyle name="Nota 2 2 3 4 3 3 3" xfId="6646" xr:uid="{CF1162E4-8644-4A10-972E-A12AEA492CC6}"/>
    <cellStyle name="Nota 2 2 3 4 3 3 4" xfId="8137" xr:uid="{89226ED0-C49E-4A17-A58E-A3F7075FCE96}"/>
    <cellStyle name="Nota 2 2 3 4 3 4" xfId="2737" xr:uid="{322BB721-4089-4163-92C9-E536212B5715}"/>
    <cellStyle name="Nota 2 2 3 4 3 4 2" xfId="5051" xr:uid="{361FD99F-FD24-4A86-AC97-D9EC43200E6D}"/>
    <cellStyle name="Nota 2 2 3 4 3 4 3" xfId="7045" xr:uid="{1A32CD53-DEB4-471A-A970-2D4F88044EC1}"/>
    <cellStyle name="Nota 2 2 3 4 3 4 4" xfId="8415" xr:uid="{7F4AE366-902A-4870-BE7C-D8B1374C5985}"/>
    <cellStyle name="Nota 2 2 3 4 3 5" xfId="892" xr:uid="{18BE5904-6065-420D-A540-2FA946E01C06}"/>
    <cellStyle name="Nota 2 2 3 4 3 5 2" xfId="3276" xr:uid="{C690C6EF-E9ED-4BD5-9C54-4C54A9C13A35}"/>
    <cellStyle name="Nota 2 2 3 4 3 5 3" xfId="3380" xr:uid="{3865D0A8-1592-4AF5-AD2D-FFC793318E08}"/>
    <cellStyle name="Nota 2 2 3 4 3 5 4" xfId="5560" xr:uid="{A7BFDC15-9D28-4C5C-8A7E-354635F68438}"/>
    <cellStyle name="Nota 2 2 3 4 3 6" xfId="1217" xr:uid="{483CA4E2-40EA-4E09-AEC1-F34FFE1E10FA}"/>
    <cellStyle name="Nota 2 2 3 4 3 7" xfId="3552" xr:uid="{82420F88-A141-4931-882C-8E13EE0FBA8A}"/>
    <cellStyle name="Nota 2 2 3 4 3 8" xfId="5672" xr:uid="{AB89D337-E0BD-4661-BEDB-208F5364CEFE}"/>
    <cellStyle name="Nota 2 2 3 4 3 9" xfId="5566" xr:uid="{C1A42AD6-D873-4D0E-BEFD-4B1294605D07}"/>
    <cellStyle name="Nota 2 2 3 4 4" xfId="1723" xr:uid="{AE271544-98EC-4035-A623-E19BFF30339F}"/>
    <cellStyle name="Nota 2 2 3 4 4 2" xfId="4037" xr:uid="{756FABAA-AE9F-4699-B0B1-BC81F35AD1CE}"/>
    <cellStyle name="Nota 2 2 3 4 4 3" xfId="6091" xr:uid="{3CBAE0A1-08AF-4A16-BE45-FF4A93C7AB9F}"/>
    <cellStyle name="Nota 2 2 3 4 4 4" xfId="7785" xr:uid="{C00A8A0B-619C-4842-8859-C8F838A453ED}"/>
    <cellStyle name="Nota 2 2 3 4 5" xfId="1708" xr:uid="{A43A542C-61FA-4AB5-95E5-786D7936D046}"/>
    <cellStyle name="Nota 2 2 3 4 5 2" xfId="4022" xr:uid="{B2FBF79B-D3AF-42F2-9D13-2F1F9192E475}"/>
    <cellStyle name="Nota 2 2 3 4 5 3" xfId="6076" xr:uid="{A9A6B371-9728-4C35-8230-F9ACCD84FA4B}"/>
    <cellStyle name="Nota 2 2 3 4 5 4" xfId="7775" xr:uid="{5716E335-6A38-4BC9-8911-5DAC97291967}"/>
    <cellStyle name="Nota 2 2 3 4 6" xfId="1643" xr:uid="{91379E47-D3B0-4308-90FA-F67D2289FB60}"/>
    <cellStyle name="Nota 2 2 3 4 6 2" xfId="3957" xr:uid="{C9B90221-993F-4BA8-9691-68F98836F4BA}"/>
    <cellStyle name="Nota 2 2 3 4 6 3" xfId="6017" xr:uid="{3C9C24B3-3F29-406C-8CDD-23082E2D39EC}"/>
    <cellStyle name="Nota 2 2 3 4 6 4" xfId="7737" xr:uid="{7A3E5280-8C51-4029-94B5-38E245492E6B}"/>
    <cellStyle name="Nota 2 2 3 4 7" xfId="2809" xr:uid="{485BBA1C-42DC-4C0B-B5FB-6B1F064E637C}"/>
    <cellStyle name="Nota 2 2 3 4 7 2" xfId="5123" xr:uid="{3C10F0E4-588F-4A13-AC58-BCD0CCB66F5D}"/>
    <cellStyle name="Nota 2 2 3 4 7 3" xfId="7117" xr:uid="{96B591B9-0CF3-4711-8F28-9BAF586C2643}"/>
    <cellStyle name="Nota 2 2 3 4 7 4" xfId="8464" xr:uid="{668C7117-B057-4F5C-9A3D-A54BD9D4C022}"/>
    <cellStyle name="Nota 2 2 3 4 8" xfId="1063" xr:uid="{26B9BFF7-0507-48CE-9A1E-ABC4F331ACFA}"/>
    <cellStyle name="Nota 2 2 3 4 9" xfId="3422" xr:uid="{179B076B-CBCE-4226-BCAD-B0E58117E417}"/>
    <cellStyle name="Nota 2 2 3 5" xfId="386" xr:uid="{C50B1BC7-ADE7-4F64-B3B8-3A164CA145DF}"/>
    <cellStyle name="Nota 2 2 3 5 2" xfId="1868" xr:uid="{D97501DB-C911-4742-A7C3-25FDDA19D2F5}"/>
    <cellStyle name="Nota 2 2 3 5 2 2" xfId="4182" xr:uid="{41B5DBF3-5683-48D9-AAA4-4C224350319C}"/>
    <cellStyle name="Nota 2 2 3 5 2 3" xfId="6230" xr:uid="{B1528D7D-8536-4BD5-B8D2-6562B7880873}"/>
    <cellStyle name="Nota 2 2 3 5 2 4" xfId="7867" xr:uid="{69B67A4A-EBD7-4868-A0EC-F107F757CADD}"/>
    <cellStyle name="Nota 2 2 3 5 3" xfId="2325" xr:uid="{DB181FBA-3D4C-4E03-91A2-84A00A15518A}"/>
    <cellStyle name="Nota 2 2 3 5 3 2" xfId="4639" xr:uid="{859B99AE-EB9B-4F24-BDB0-319DD373532D}"/>
    <cellStyle name="Nota 2 2 3 5 3 3" xfId="6658" xr:uid="{8E1FBFD4-8C49-41A2-AE13-26A41DE87B1B}"/>
    <cellStyle name="Nota 2 2 3 5 3 4" xfId="8150" xr:uid="{FC9FA97C-180B-4C6E-959B-BB95009A6124}"/>
    <cellStyle name="Nota 2 2 3 5 4" xfId="2746" xr:uid="{7A694C9E-6924-40D4-9191-6AA527B16786}"/>
    <cellStyle name="Nota 2 2 3 5 4 2" xfId="5060" xr:uid="{301E7A18-FEB3-4903-BB02-5CE431BBC251}"/>
    <cellStyle name="Nota 2 2 3 5 4 3" xfId="7054" xr:uid="{A872C687-98E5-45E8-9E13-B8752C94B5C5}"/>
    <cellStyle name="Nota 2 2 3 5 4 4" xfId="8422" xr:uid="{A6769048-A995-450C-9CF1-C945AA0FD8E4}"/>
    <cellStyle name="Nota 2 2 3 5 5" xfId="3053" xr:uid="{FE9419A6-9D14-4F66-91B6-87291CB39324}"/>
    <cellStyle name="Nota 2 2 3 5 5 2" xfId="5367" xr:uid="{A3F6F5B4-D559-43E6-907E-1582C40E825F}"/>
    <cellStyle name="Nota 2 2 3 5 5 3" xfId="7361" xr:uid="{A18CD483-7A40-40A6-8B09-C3C84D4712F4}"/>
    <cellStyle name="Nota 2 2 3 5 5 4" xfId="8605" xr:uid="{40D4F269-0F53-49DB-9C14-256C9F7A5A91}"/>
    <cellStyle name="Nota 2 2 3 5 6" xfId="1234" xr:uid="{961C0F7A-4947-4343-A1EB-4C9AD27A3DCC}"/>
    <cellStyle name="Nota 2 2 3 5 7" xfId="3569" xr:uid="{9FDC9264-DCEB-4C06-B4C4-54D3E5E3349F}"/>
    <cellStyle name="Nota 2 2 3 5 8" xfId="5684" xr:uid="{76A00E2D-EED5-4D23-8A43-9B4327B1DCA8}"/>
    <cellStyle name="Nota 2 2 3 5 9" xfId="3621" xr:uid="{BEBB1091-8074-466C-A93A-08221783A8C8}"/>
    <cellStyle name="Nota 2 2 3 6" xfId="918" xr:uid="{51410B1B-22B3-4BBD-A1A6-C9E57360E473}"/>
    <cellStyle name="Nota 2 2 3 6 2" xfId="3300" xr:uid="{113F8E25-1D47-4D88-8388-49894C5877B4}"/>
    <cellStyle name="Nota 2 2 3 6 3" xfId="3272" xr:uid="{4B0D0140-A42E-4899-AFF1-AB7CA00B70D1}"/>
    <cellStyle name="Nota 2 2 3 6 4" xfId="6025" xr:uid="{E655B5F8-20E0-49CE-AA2C-F33BA98AA870}"/>
    <cellStyle name="Nota 2 2 3 7" xfId="821" xr:uid="{702564BE-2AC5-4607-A101-1EA0A888DABC}"/>
    <cellStyle name="Nota 2 2 3 8" xfId="3217" xr:uid="{D2049933-6DBF-4520-A1D6-B03D71E52378}"/>
    <cellStyle name="Nota 2 2 3 9" xfId="3499" xr:uid="{F0FD8434-BC44-4E65-8885-537171AD9BE8}"/>
    <cellStyle name="Nota 2 2 4" xfId="74" xr:uid="{A32B54C0-97C2-4755-AA85-CEFBD0DBDFF3}"/>
    <cellStyle name="Nota 2 2 4 10" xfId="929" xr:uid="{D8529345-6204-40D7-A77D-030C3D58F106}"/>
    <cellStyle name="Nota 2 2 4 10 2" xfId="3311" xr:uid="{5BFD7BEF-11C1-4DEC-B670-E5426B7FF89F}"/>
    <cellStyle name="Nota 2 2 4 10 3" xfId="3645" xr:uid="{5A0102E7-70F5-495A-BFB4-D74F50A7A07E}"/>
    <cellStyle name="Nota 2 2 4 10 4" xfId="6653" xr:uid="{DAE8A636-45CE-427E-961C-A4A1964DF16A}"/>
    <cellStyle name="Nota 2 2 4 11" xfId="833" xr:uid="{5276B090-B0CB-40E8-A727-FADB2CF4649A}"/>
    <cellStyle name="Nota 2 2 4 12" xfId="3227" xr:uid="{948AA3AF-6AE5-4CFB-87B8-77843C0CD67A}"/>
    <cellStyle name="Nota 2 2 4 13" xfId="6086" xr:uid="{9297F308-5A87-4574-8CED-66E84EC419FF}"/>
    <cellStyle name="Nota 2 2 4 2" xfId="118" xr:uid="{4F9F8151-5EF8-4D29-9178-D8B4D4B9663D}"/>
    <cellStyle name="Nota 2 2 4 2 10" xfId="2392" xr:uid="{8BE16FC8-9433-481A-AA30-5B0252E77935}"/>
    <cellStyle name="Nota 2 2 4 2 10 2" xfId="4706" xr:uid="{C33908EC-ABAF-4408-810D-9083324BD968}"/>
    <cellStyle name="Nota 2 2 4 2 10 3" xfId="6719" xr:uid="{7DB14657-7C3E-4D64-93E1-1DA46945C93C}"/>
    <cellStyle name="Nota 2 2 4 2 10 4" xfId="8194" xr:uid="{74EFFEC5-6E73-4CDC-9AEE-7687D51DE7C5}"/>
    <cellStyle name="Nota 2 2 4 2 11" xfId="2957" xr:uid="{DC4C094B-BB96-4723-A3D1-F34190E5D6B0}"/>
    <cellStyle name="Nota 2 2 4 2 11 2" xfId="5271" xr:uid="{9A666B6C-3334-4104-B803-C23FB978D56E}"/>
    <cellStyle name="Nota 2 2 4 2 11 3" xfId="7265" xr:uid="{8405D7F8-6A71-40DD-AF5F-2FA28894D721}"/>
    <cellStyle name="Nota 2 2 4 2 11 4" xfId="8547" xr:uid="{1C1F85D8-F0F2-4B4C-8974-62D3D03464DD}"/>
    <cellStyle name="Nota 2 2 4 2 12" xfId="868" xr:uid="{1DA3B6B7-823C-485E-9CDA-298F15838AF9}"/>
    <cellStyle name="Nota 2 2 4 2 13" xfId="3255" xr:uid="{C28A79C1-C45C-4AB1-98FE-E7748FBB3F3A}"/>
    <cellStyle name="Nota 2 2 4 2 14" xfId="6302" xr:uid="{7B631EAC-B93D-4335-B8B0-30848DE1DA08}"/>
    <cellStyle name="Nota 2 2 4 2 2" xfId="190" xr:uid="{89082613-AFC3-4C1D-B64B-35D7C77946B1}"/>
    <cellStyle name="Nota 2 2 4 2 2 2" xfId="327" xr:uid="{A6CFEC88-2068-44C6-B5C9-4989E3085D2B}"/>
    <cellStyle name="Nota 2 2 4 2 2 2 10" xfId="5636" xr:uid="{C89FCA70-2B84-49BE-AC97-F764DB733E4C}"/>
    <cellStyle name="Nota 2 2 4 2 2 2 11" xfId="5546" xr:uid="{83172124-AF1C-4478-982B-40DF66716B24}"/>
    <cellStyle name="Nota 2 2 4 2 2 2 2" xfId="684" xr:uid="{C5A3CD04-A4C4-4BB4-A399-C8EFB951E811}"/>
    <cellStyle name="Nota 2 2 4 2 2 2 2 2" xfId="2142" xr:uid="{9E86EF44-6C88-4474-8231-74603E818045}"/>
    <cellStyle name="Nota 2 2 4 2 2 2 2 2 2" xfId="4456" xr:uid="{6EE12BF0-56C6-4274-A46C-E2E9BBCD0BB3}"/>
    <cellStyle name="Nota 2 2 4 2 2 2 2 2 3" xfId="6480" xr:uid="{3E82A536-ED88-4D1D-A3B2-EE3190E059AC}"/>
    <cellStyle name="Nota 2 2 4 2 2 2 2 2 4" xfId="8050" xr:uid="{FBA0B671-0EB2-4B86-859C-8AED230BAC08}"/>
    <cellStyle name="Nota 2 2 4 2 2 2 2 3" xfId="2594" xr:uid="{788BF25A-D4B4-4A49-B9A2-499160638EA8}"/>
    <cellStyle name="Nota 2 2 4 2 2 2 2 3 2" xfId="4908" xr:uid="{DA01A729-F7FC-4480-9020-5110D31B441F}"/>
    <cellStyle name="Nota 2 2 4 2 2 2 2 3 3" xfId="6903" xr:uid="{8B147848-8103-4C8E-A007-A1D6769B892E}"/>
    <cellStyle name="Nota 2 2 4 2 2 2 2 3 4" xfId="8330" xr:uid="{C87DA9CB-B1BA-4697-9F77-0F3FAB223141}"/>
    <cellStyle name="Nota 2 2 4 2 2 2 2 4" xfId="2973" xr:uid="{78485035-A9E0-4358-88CE-C6F8F059E627}"/>
    <cellStyle name="Nota 2 2 4 2 2 2 2 4 2" xfId="5287" xr:uid="{0FBE537C-869C-439D-A803-3643944D74F6}"/>
    <cellStyle name="Nota 2 2 4 2 2 2 2 4 3" xfId="7281" xr:uid="{9D4FA793-33E5-4010-9483-028D803D78A6}"/>
    <cellStyle name="Nota 2 2 4 2 2 2 2 4 4" xfId="8562" xr:uid="{1F19E224-1105-4DC0-AFE9-06416964B277}"/>
    <cellStyle name="Nota 2 2 4 2 2 2 2 5" xfId="3174" xr:uid="{D09EF919-945C-44AD-9EA7-3031756D9B28}"/>
    <cellStyle name="Nota 2 2 4 2 2 2 2 5 2" xfId="5488" xr:uid="{CF2D460D-94B7-4335-B244-9C1294BB51CF}"/>
    <cellStyle name="Nota 2 2 4 2 2 2 2 5 3" xfId="7482" xr:uid="{F19E77DC-DC3C-4D86-BFB8-229A68376189}"/>
    <cellStyle name="Nota 2 2 4 2 2 2 2 5 4" xfId="8726" xr:uid="{48E142F7-D7E0-43F5-846A-002C86625EC1}"/>
    <cellStyle name="Nota 2 2 4 2 2 2 2 6" xfId="1532" xr:uid="{1797B215-3E60-4BC1-9883-F1C3C0B20DA0}"/>
    <cellStyle name="Nota 2 2 4 2 2 2 2 7" xfId="3848" xr:uid="{7C4C74D4-42A7-4BBE-8C99-19A472FA453E}"/>
    <cellStyle name="Nota 2 2 4 2 2 2 2 8" xfId="5918" xr:uid="{6FA8CA30-70D2-481F-BC59-FA72230BCACD}"/>
    <cellStyle name="Nota 2 2 4 2 2 2 2 9" xfId="7679" xr:uid="{A6584AC4-8A91-4FF5-BFFB-77EFC4163A53}"/>
    <cellStyle name="Nota 2 2 4 2 2 2 3" xfId="756" xr:uid="{AC564F7E-7C95-4A15-829A-DD0B095BDAD1}"/>
    <cellStyle name="Nota 2 2 4 2 2 2 3 2" xfId="2214" xr:uid="{28CF726D-FE65-4396-959E-6F7AE8D5E825}"/>
    <cellStyle name="Nota 2 2 4 2 2 2 3 2 2" xfId="4528" xr:uid="{53CB489F-2DF5-4652-AA5B-94B57B8C4B99}"/>
    <cellStyle name="Nota 2 2 4 2 2 2 3 2 3" xfId="6550" xr:uid="{71E4CE2E-89F2-4CED-B054-DDA64D5454E1}"/>
    <cellStyle name="Nota 2 2 4 2 2 2 3 2 4" xfId="8089" xr:uid="{CA50CAEC-5251-446C-A628-B2BF4F1AD5A4}"/>
    <cellStyle name="Nota 2 2 4 2 2 2 3 3" xfId="2666" xr:uid="{989D6477-2F23-4103-B16C-FB6DC5832CD3}"/>
    <cellStyle name="Nota 2 2 4 2 2 2 3 3 2" xfId="4980" xr:uid="{E86E70DB-BEA7-4FAD-95AF-198548C1448F}"/>
    <cellStyle name="Nota 2 2 4 2 2 2 3 3 3" xfId="6974" xr:uid="{17B0CE6B-D6AF-462A-A3F8-533301DEB6E3}"/>
    <cellStyle name="Nota 2 2 4 2 2 2 3 3 4" xfId="8369" xr:uid="{1A1D05BD-F4EA-4A84-AFF3-728916A15D93}"/>
    <cellStyle name="Nota 2 2 4 2 2 2 3 4" xfId="3041" xr:uid="{992C9508-EB3A-4C0A-98B8-DD53FA799131}"/>
    <cellStyle name="Nota 2 2 4 2 2 2 3 4 2" xfId="5355" xr:uid="{4C79474E-B065-410E-AC0D-A7605D8F14B2}"/>
    <cellStyle name="Nota 2 2 4 2 2 2 3 4 3" xfId="7349" xr:uid="{49CEAE7E-671C-4DEA-ABEE-AFBC62B9B7C2}"/>
    <cellStyle name="Nota 2 2 4 2 2 2 3 4 4" xfId="8597" xr:uid="{B6F4AA88-215D-4904-A4C1-D5456ABA9554}"/>
    <cellStyle name="Nota 2 2 4 2 2 2 3 5" xfId="3209" xr:uid="{7D5CCA3F-8372-45E1-9A55-1587D4F0E595}"/>
    <cellStyle name="Nota 2 2 4 2 2 2 3 5 2" xfId="5523" xr:uid="{8DBE79A0-8A12-4F1A-B5E2-1054484DEB16}"/>
    <cellStyle name="Nota 2 2 4 2 2 2 3 5 3" xfId="7517" xr:uid="{E40138AB-EFD4-4BF5-9A64-EB0A7ACAFE78}"/>
    <cellStyle name="Nota 2 2 4 2 2 2 3 5 4" xfId="8761" xr:uid="{B89FCB3A-3B6B-47DA-973A-11F4B0C271A8}"/>
    <cellStyle name="Nota 2 2 4 2 2 2 3 6" xfId="1604" xr:uid="{05846565-3C0B-4CC2-8FFF-43C7E2598D96}"/>
    <cellStyle name="Nota 2 2 4 2 2 2 3 7" xfId="3920" xr:uid="{06031BD7-284B-4986-B892-3A78F95490FF}"/>
    <cellStyle name="Nota 2 2 4 2 2 2 3 8" xfId="5987" xr:uid="{856C907D-BDA8-4775-AD8A-9CF6F64F0480}"/>
    <cellStyle name="Nota 2 2 4 2 2 2 3 9" xfId="7718" xr:uid="{65D0FABB-081F-4D3D-8C21-623CBD026A5F}"/>
    <cellStyle name="Nota 2 2 4 2 2 2 4" xfId="1815" xr:uid="{19ABC7A0-4EE2-4239-98D8-F04745607DB7}"/>
    <cellStyle name="Nota 2 2 4 2 2 2 4 2" xfId="4129" xr:uid="{75B7E855-59F6-44E3-AD60-9158FC74CAE2}"/>
    <cellStyle name="Nota 2 2 4 2 2 2 4 3" xfId="6178" xr:uid="{A5B50F76-B046-42EF-B543-28D3C56C3503}"/>
    <cellStyle name="Nota 2 2 4 2 2 2 4 4" xfId="7842" xr:uid="{8801E832-2AC4-4BFC-BBBE-086A81DF1A76}"/>
    <cellStyle name="Nota 2 2 4 2 2 2 5" xfId="2272" xr:uid="{1AED4AF4-C6AF-480F-81B6-2672F32DE5B1}"/>
    <cellStyle name="Nota 2 2 4 2 2 2 5 2" xfId="4586" xr:uid="{F0EFDB05-5DBF-4312-B84D-1A3C41A8027E}"/>
    <cellStyle name="Nota 2 2 4 2 2 2 5 3" xfId="6608" xr:uid="{DCF05A75-4818-46DF-BF30-579065664FD3}"/>
    <cellStyle name="Nota 2 2 4 2 2 2 5 4" xfId="8125" xr:uid="{B36C3833-D1FC-4C8D-8E40-0E46BECC3436}"/>
    <cellStyle name="Nota 2 2 4 2 2 2 6" xfId="2705" xr:uid="{ABAC6D8F-41CB-41EB-A6F3-ADE6B2C0DFB7}"/>
    <cellStyle name="Nota 2 2 4 2 2 2 6 2" xfId="5019" xr:uid="{CDF116AF-4822-421F-AA68-DD0CBB1C8DB5}"/>
    <cellStyle name="Nota 2 2 4 2 2 2 6 3" xfId="7013" xr:uid="{E821A38E-8297-4424-8708-20B571F88B79}"/>
    <cellStyle name="Nota 2 2 4 2 2 2 6 4" xfId="8404" xr:uid="{6C4D910E-0835-43A6-97BA-2322FC20AFE2}"/>
    <cellStyle name="Nota 2 2 4 2 2 2 7" xfId="2755" xr:uid="{E7D11C83-3486-4DEF-B552-8FA7715D5C49}"/>
    <cellStyle name="Nota 2 2 4 2 2 2 7 2" xfId="5069" xr:uid="{89040EDA-4DF4-4968-A5FE-07C46E5AF510}"/>
    <cellStyle name="Nota 2 2 4 2 2 2 7 3" xfId="7063" xr:uid="{92E73B6D-F089-42A8-89D3-F10BA65A91ED}"/>
    <cellStyle name="Nota 2 2 4 2 2 2 7 4" xfId="8428" xr:uid="{EC177041-86BC-43B8-965F-76C058E3E37B}"/>
    <cellStyle name="Nota 2 2 4 2 2 2 8" xfId="1175" xr:uid="{1DB87408-D1BA-483D-8C7D-121299F8B628}"/>
    <cellStyle name="Nota 2 2 4 2 2 2 9" xfId="3515" xr:uid="{C49A12A2-D948-4097-875A-3D2E87E853C6}"/>
    <cellStyle name="Nota 2 2 4 2 2 3" xfId="501" xr:uid="{BB1F952A-DD56-4F0A-B1F4-611703376D71}"/>
    <cellStyle name="Nota 2 2 4 2 2 3 2" xfId="1962" xr:uid="{0FFF80FB-607E-421F-87EB-636530D1B81C}"/>
    <cellStyle name="Nota 2 2 4 2 2 3 2 2" xfId="4276" xr:uid="{D54C6E6B-24E1-4B6E-BBCB-5D2887C9FDD3}"/>
    <cellStyle name="Nota 2 2 4 2 2 3 2 3" xfId="6318" xr:uid="{D45ED5DF-029D-4D87-AE88-848CB22872AC}"/>
    <cellStyle name="Nota 2 2 4 2 2 3 2 4" xfId="7932" xr:uid="{92031544-2BF7-4688-8B18-C15902F12F86}"/>
    <cellStyle name="Nota 2 2 4 2 2 3 3" xfId="2415" xr:uid="{39666FA2-6F33-496F-9AA8-79E999E4D2EB}"/>
    <cellStyle name="Nota 2 2 4 2 2 3 3 2" xfId="4729" xr:uid="{64044E89-1697-4A3F-8B0B-438E9F810317}"/>
    <cellStyle name="Nota 2 2 4 2 2 3 3 3" xfId="6741" xr:uid="{0154D3DC-3019-474B-8D58-7A3A5B5CEA15}"/>
    <cellStyle name="Nota 2 2 4 2 2 3 3 4" xfId="8213" xr:uid="{47EDC5F4-2F1A-4586-B478-8A9849012AD2}"/>
    <cellStyle name="Nota 2 2 4 2 2 3 4" xfId="2822" xr:uid="{6DC63F9A-587B-4274-A5E9-553174B2CF35}"/>
    <cellStyle name="Nota 2 2 4 2 2 3 4 2" xfId="5136" xr:uid="{3CFFD653-D6E2-4B63-8BFF-E3F38B2550B0}"/>
    <cellStyle name="Nota 2 2 4 2 2 3 4 3" xfId="7130" xr:uid="{F2AF79AD-E367-46A7-AEEC-3F8383C8CFC5}"/>
    <cellStyle name="Nota 2 2 4 2 2 3 4 4" xfId="8473" xr:uid="{0BC28882-3E41-48E0-B038-39F54BD43433}"/>
    <cellStyle name="Nota 2 2 4 2 2 3 5" xfId="3090" xr:uid="{20442201-9317-480C-AB28-9144961E43FB}"/>
    <cellStyle name="Nota 2 2 4 2 2 3 5 2" xfId="5404" xr:uid="{5685DFEC-4EDA-4ED7-96C0-87420D965AF0}"/>
    <cellStyle name="Nota 2 2 4 2 2 3 5 3" xfId="7398" xr:uid="{1AEB2A3D-BF4E-4B2D-8439-117C99E8B2AB}"/>
    <cellStyle name="Nota 2 2 4 2 2 3 5 4" xfId="8642" xr:uid="{FABCB9E6-494F-4474-9FC2-F9815F67C912}"/>
    <cellStyle name="Nota 2 2 4 2 2 3 6" xfId="1349" xr:uid="{EF1F66F9-9668-416C-9D8F-F44778DF0E9D}"/>
    <cellStyle name="Nota 2 2 4 2 2 3 7" xfId="3666" xr:uid="{A72179EC-6F21-40A1-94E2-6921FB97A2AF}"/>
    <cellStyle name="Nota 2 2 4 2 2 3 8" xfId="5759" xr:uid="{BA70D4CA-9C15-4AE6-A8CD-B7CD3D6999F2}"/>
    <cellStyle name="Nota 2 2 4 2 2 3 9" xfId="7563" xr:uid="{5B9481AE-ED08-40EF-80D9-9D096F73E458}"/>
    <cellStyle name="Nota 2 2 4 2 2 4" xfId="2309" xr:uid="{682A6C60-89EE-4CF8-871C-90E632128BE5}"/>
    <cellStyle name="Nota 2 2 4 2 2 4 2" xfId="4623" xr:uid="{A67A72BE-406D-4E8B-92AE-4AD2530C5837}"/>
    <cellStyle name="Nota 2 2 4 2 2 4 3" xfId="6645" xr:uid="{B506D106-FA27-4518-8CE9-8412E89A26D3}"/>
    <cellStyle name="Nota 2 2 4 2 2 4 4" xfId="8136" xr:uid="{FB3130AA-1C55-4201-9A48-907700D010A9}"/>
    <cellStyle name="Nota 2 2 4 2 2 5" xfId="1038" xr:uid="{6A0D957E-38FD-4E6C-AF83-BF3B653CE063}"/>
    <cellStyle name="Nota 2 2 4 2 2 6" xfId="3402" xr:uid="{78EC8648-A5DC-425F-AD4E-3F95CFAD8E41}"/>
    <cellStyle name="Nota 2 2 4 2 2 7" xfId="5540" xr:uid="{63BAE9F6-3EFB-42E1-A993-26E4F61D2752}"/>
    <cellStyle name="Nota 2 2 4 2 2 8" xfId="5524" xr:uid="{73027FE5-1C95-4C99-B915-92542FF8F743}"/>
    <cellStyle name="Nota 2 2 4 2 3" xfId="258" xr:uid="{7F9DB605-4FE2-4B70-AE2D-A507A8A1A85B}"/>
    <cellStyle name="Nota 2 2 4 2 3 10" xfId="3460" xr:uid="{56C3902F-D8AD-4050-833F-81F009DB6F5E}"/>
    <cellStyle name="Nota 2 2 4 2 3 11" xfId="5583" xr:uid="{51FC75FB-DCD9-4061-BC20-514FA405BC6E}"/>
    <cellStyle name="Nota 2 2 4 2 3 12" xfId="5529" xr:uid="{0731F77B-B5E7-48A6-8C9A-2BF7FEA7A593}"/>
    <cellStyle name="Nota 2 2 4 2 3 2" xfId="636" xr:uid="{D2896860-4EE0-4E5F-A4D8-799DD7F84A88}"/>
    <cellStyle name="Nota 2 2 4 2 3 2 2" xfId="2094" xr:uid="{308ED728-1F20-4969-842E-45E0F27BD6D1}"/>
    <cellStyle name="Nota 2 2 4 2 3 2 2 2" xfId="4408" xr:uid="{B153C395-690E-4631-B6DB-7FC52591CFD6}"/>
    <cellStyle name="Nota 2 2 4 2 3 2 2 3" xfId="6446" xr:uid="{5541CAAF-B88A-453F-AE3F-A1BCB3C043EC}"/>
    <cellStyle name="Nota 2 2 4 2 3 2 2 4" xfId="8005" xr:uid="{F8723B5F-F1AB-4195-9D50-A007DF819441}"/>
    <cellStyle name="Nota 2 2 4 2 3 2 3" xfId="2546" xr:uid="{FE33A68F-57A6-4D6F-B433-BE349DCB5BC0}"/>
    <cellStyle name="Nota 2 2 4 2 3 2 3 2" xfId="4860" xr:uid="{AF17D246-187A-4976-80A4-FD8D59685025}"/>
    <cellStyle name="Nota 2 2 4 2 3 2 3 3" xfId="6867" xr:uid="{5DD82577-2E76-4187-BBDD-B45882A28DA1}"/>
    <cellStyle name="Nota 2 2 4 2 3 2 3 4" xfId="8285" xr:uid="{B93A3956-274E-4529-9B9E-8533A6660A58}"/>
    <cellStyle name="Nota 2 2 4 2 3 2 4" xfId="2944" xr:uid="{FDC0D084-502C-4E58-9305-645A3049043F}"/>
    <cellStyle name="Nota 2 2 4 2 3 2 4 2" xfId="5258" xr:uid="{F8FB6F42-6A37-47E3-9DB9-2803D033AA8D}"/>
    <cellStyle name="Nota 2 2 4 2 3 2 4 3" xfId="7252" xr:uid="{67BA90EE-6B23-4054-BB26-E7AA4377D08D}"/>
    <cellStyle name="Nota 2 2 4 2 3 2 4 4" xfId="8536" xr:uid="{1F4A958B-9BE9-4C66-AAA2-D7156843014E}"/>
    <cellStyle name="Nota 2 2 4 2 3 2 5" xfId="3150" xr:uid="{F9DBF7B1-22BC-46A1-B767-76BA7B45AC8A}"/>
    <cellStyle name="Nota 2 2 4 2 3 2 5 2" xfId="5464" xr:uid="{E60C3CA3-3360-460C-A3B3-0F434016513B}"/>
    <cellStyle name="Nota 2 2 4 2 3 2 5 3" xfId="7458" xr:uid="{6482D0E1-657D-416C-9ED3-BFCBDECFBC62}"/>
    <cellStyle name="Nota 2 2 4 2 3 2 5 4" xfId="8702" xr:uid="{AF78F4E7-64FC-49B4-A4E2-147EAA580837}"/>
    <cellStyle name="Nota 2 2 4 2 3 2 6" xfId="1484" xr:uid="{C1C9BA46-77E3-4A63-8EB6-EEDB75CBCEDF}"/>
    <cellStyle name="Nota 2 2 4 2 3 2 7" xfId="3800" xr:uid="{2A9BA3EB-0E65-47CA-A0C3-254CE656D6B7}"/>
    <cellStyle name="Nota 2 2 4 2 3 2 8" xfId="5885" xr:uid="{891FD74E-7FD8-4CBE-A8B2-2FAF0F7CA049}"/>
    <cellStyle name="Nota 2 2 4 2 3 2 9" xfId="7634" xr:uid="{66950461-A8AB-4EEE-A73D-F607FCF5D73C}"/>
    <cellStyle name="Nota 2 2 4 2 3 3" xfId="714" xr:uid="{B5571224-EED4-454B-BAF5-0595F468E63E}"/>
    <cellStyle name="Nota 2 2 4 2 3 3 2" xfId="2172" xr:uid="{E9C442A1-D209-45D8-BAC5-02DD17785608}"/>
    <cellStyle name="Nota 2 2 4 2 3 3 2 2" xfId="4486" xr:uid="{E8B7F27D-F7D0-485B-9784-BAD7787D9593}"/>
    <cellStyle name="Nota 2 2 4 2 3 3 2 3" xfId="6508" xr:uid="{D5CA9DAF-79FC-4382-86C0-963E51AB3C83}"/>
    <cellStyle name="Nota 2 2 4 2 3 3 2 4" xfId="8068" xr:uid="{21EE0637-2AC0-4977-94B1-10FAB95D5DD9}"/>
    <cellStyle name="Nota 2 2 4 2 3 3 3" xfId="2624" xr:uid="{530BD2F7-DF85-469E-AB92-1E9FD6F1C3D3}"/>
    <cellStyle name="Nota 2 2 4 2 3 3 3 2" xfId="4938" xr:uid="{3D965FCF-0D5A-4588-9572-E254A633286C}"/>
    <cellStyle name="Nota 2 2 4 2 3 3 3 3" xfId="6932" xr:uid="{2BF483C0-E24D-4F9B-A253-380ACCCA08BA}"/>
    <cellStyle name="Nota 2 2 4 2 3 3 3 4" xfId="8348" xr:uid="{984ABD49-8D83-4040-91F9-C94D0590EEE4}"/>
    <cellStyle name="Nota 2 2 4 2 3 3 4" xfId="2999" xr:uid="{22472F9A-A7DF-4309-A266-492D40B4CF99}"/>
    <cellStyle name="Nota 2 2 4 2 3 3 4 2" xfId="5313" xr:uid="{DA425B25-CCF8-4527-BDD7-71FA675DC8F5}"/>
    <cellStyle name="Nota 2 2 4 2 3 3 4 3" xfId="7307" xr:uid="{817C196D-72FD-4224-9905-325BF28DFBF0}"/>
    <cellStyle name="Nota 2 2 4 2 3 3 4 4" xfId="8576" xr:uid="{1542D898-D661-47E5-B7FA-978D273957A5}"/>
    <cellStyle name="Nota 2 2 4 2 3 3 5" xfId="3188" xr:uid="{E536CFC8-2D36-4FC3-B2DF-0543AF8A0544}"/>
    <cellStyle name="Nota 2 2 4 2 3 3 5 2" xfId="5502" xr:uid="{F4170A87-5605-4D44-8D2C-55E0FED2E13F}"/>
    <cellStyle name="Nota 2 2 4 2 3 3 5 3" xfId="7496" xr:uid="{B573E1F5-0262-4311-82EA-4FB867CC1D4A}"/>
    <cellStyle name="Nota 2 2 4 2 3 3 5 4" xfId="8740" xr:uid="{76A07E9C-E4F3-4EE7-912E-1DCA0C538F79}"/>
    <cellStyle name="Nota 2 2 4 2 3 3 6" xfId="1562" xr:uid="{13F367F3-6DA6-4654-B86B-E620510084A6}"/>
    <cellStyle name="Nota 2 2 4 2 3 3 7" xfId="3878" xr:uid="{0E9B048C-25FD-4EDA-A3A4-F43D29850350}"/>
    <cellStyle name="Nota 2 2 4 2 3 3 8" xfId="5945" xr:uid="{FD32F9DA-1FC0-49A7-B506-AD513060B23A}"/>
    <cellStyle name="Nota 2 2 4 2 3 3 9" xfId="7697" xr:uid="{C245B47E-F6B6-4539-9A36-AD09DDEA6085}"/>
    <cellStyle name="Nota 2 2 4 2 3 4" xfId="522" xr:uid="{601906DC-55A9-49C7-9D11-265CCBC3C716}"/>
    <cellStyle name="Nota 2 2 4 2 3 4 2" xfId="1981" xr:uid="{91120AE6-A4A6-417C-8C9E-7D23902A7856}"/>
    <cellStyle name="Nota 2 2 4 2 3 4 2 2" xfId="4295" xr:uid="{5DBD4B3B-466F-45FD-9C21-846C598094EF}"/>
    <cellStyle name="Nota 2 2 4 2 3 4 2 3" xfId="6336" xr:uid="{D62F01C1-040C-4085-BA62-C09E84A9C1D6}"/>
    <cellStyle name="Nota 2 2 4 2 3 4 2 4" xfId="7944" xr:uid="{FCA31135-8A5E-4CD2-AD1B-CB0E9B5395F3}"/>
    <cellStyle name="Nota 2 2 4 2 3 4 3" xfId="2432" xr:uid="{B15FA060-1FFA-4E7F-849E-5343D704675F}"/>
    <cellStyle name="Nota 2 2 4 2 3 4 3 2" xfId="4746" xr:uid="{4ED76E16-B301-47EF-B8FE-D408D8D7CB15}"/>
    <cellStyle name="Nota 2 2 4 2 3 4 3 3" xfId="6756" xr:uid="{0A7D0A11-8F7C-430D-B395-DDACDE0D6943}"/>
    <cellStyle name="Nota 2 2 4 2 3 4 3 4" xfId="8223" xr:uid="{0BD8AD74-4C34-44C7-B247-296882FFF0DA}"/>
    <cellStyle name="Nota 2 2 4 2 3 4 4" xfId="2837" xr:uid="{C8E08E27-D1A2-4AFE-B86A-3C0AA52203FC}"/>
    <cellStyle name="Nota 2 2 4 2 3 4 4 2" xfId="5151" xr:uid="{93BF4937-F1C9-44EE-8167-780E8F873FB5}"/>
    <cellStyle name="Nota 2 2 4 2 3 4 4 3" xfId="7145" xr:uid="{EE0D6580-AC11-458E-9B0B-8C13944EA4D8}"/>
    <cellStyle name="Nota 2 2 4 2 3 4 4 4" xfId="8481" xr:uid="{9E843F46-D7E2-44BD-BE63-C008A5C28ABD}"/>
    <cellStyle name="Nota 2 2 4 2 3 4 5" xfId="3096" xr:uid="{D222584A-0BDC-4A64-BB1D-DED084FE3B01}"/>
    <cellStyle name="Nota 2 2 4 2 3 4 5 2" xfId="5410" xr:uid="{040A4B6E-03A3-49F2-98CA-9E4FB1417196}"/>
    <cellStyle name="Nota 2 2 4 2 3 4 5 3" xfId="7404" xr:uid="{03AE5C9E-DF59-4E71-B946-6A2F066733BA}"/>
    <cellStyle name="Nota 2 2 4 2 3 4 5 4" xfId="8648" xr:uid="{E9F31C69-74FA-4457-A6EC-165DFB8AB658}"/>
    <cellStyle name="Nota 2 2 4 2 3 4 6" xfId="1370" xr:uid="{266D05E9-E45D-4843-9012-76004393E693}"/>
    <cellStyle name="Nota 2 2 4 2 3 4 7" xfId="3686" xr:uid="{007EDC6E-AF83-4C8E-9DC0-CCEBB38D4A62}"/>
    <cellStyle name="Nota 2 2 4 2 3 4 8" xfId="5776" xr:uid="{50F84CF9-6616-49BA-A04C-BB428FA91D4A}"/>
    <cellStyle name="Nota 2 2 4 2 3 4 9" xfId="7573" xr:uid="{27989E25-5279-4CDF-A70B-5A6B45AD9784}"/>
    <cellStyle name="Nota 2 2 4 2 3 5" xfId="1757" xr:uid="{5973C55E-88EF-46CA-8A4E-6BE42BCB0DB3}"/>
    <cellStyle name="Nota 2 2 4 2 3 5 2" xfId="4071" xr:uid="{C5982ED4-AD0F-4C9B-AF9E-037F7508A4CF}"/>
    <cellStyle name="Nota 2 2 4 2 3 5 3" xfId="6121" xr:uid="{2F947BD6-F84B-4AC4-A7B8-135EFFB75847}"/>
    <cellStyle name="Nota 2 2 4 2 3 5 4" xfId="7810" xr:uid="{2D3BB44B-9BAC-4ECB-BF80-79D4B46A0CC1}"/>
    <cellStyle name="Nota 2 2 4 2 3 6" xfId="909" xr:uid="{82F370EC-E263-42D3-A4F1-639A8390EB64}"/>
    <cellStyle name="Nota 2 2 4 2 3 6 2" xfId="3291" xr:uid="{5287C8DE-B1CD-4F43-8AB9-D39A8CA93B92}"/>
    <cellStyle name="Nota 2 2 4 2 3 6 3" xfId="792" xr:uid="{0738E3E4-B66C-4544-A888-5CE790AD77AA}"/>
    <cellStyle name="Nota 2 2 4 2 3 6 4" xfId="6235" xr:uid="{FDE7F561-3CCB-4307-9DEF-B7F2FE2194C1}"/>
    <cellStyle name="Nota 2 2 4 2 3 7" xfId="1714" xr:uid="{3628862E-0656-429A-A190-2FEEF75E2453}"/>
    <cellStyle name="Nota 2 2 4 2 3 7 2" xfId="4028" xr:uid="{D69828A7-DF41-42D8-A0FB-7B9D8C7EBC9B}"/>
    <cellStyle name="Nota 2 2 4 2 3 7 3" xfId="6082" xr:uid="{0BF803FA-C736-4DB0-8D68-18DBED76F57C}"/>
    <cellStyle name="Nota 2 2 4 2 3 7 4" xfId="7778" xr:uid="{E55FC734-34E8-4ADF-9401-47E57A226579}"/>
    <cellStyle name="Nota 2 2 4 2 3 8" xfId="2249" xr:uid="{107C3CDD-A3C4-40EA-B531-2B5EC6DF3F56}"/>
    <cellStyle name="Nota 2 2 4 2 3 8 2" xfId="4563" xr:uid="{B51BBA63-6E69-4EE6-82DA-3737D4ED3191}"/>
    <cellStyle name="Nota 2 2 4 2 3 8 3" xfId="6585" xr:uid="{478B4BF6-3FC2-4605-B0C4-F9B4DB758D28}"/>
    <cellStyle name="Nota 2 2 4 2 3 8 4" xfId="8109" xr:uid="{77260C8B-C1B8-44F9-855E-275B71625B51}"/>
    <cellStyle name="Nota 2 2 4 2 3 9" xfId="1106" xr:uid="{3FF6E7C8-D58E-4B67-86F4-CB3124182AE6}"/>
    <cellStyle name="Nota 2 2 4 2 4" xfId="430" xr:uid="{65AEFA1E-42D6-4694-8BF4-C76246DA21D7}"/>
    <cellStyle name="Nota 2 2 4 2 4 2" xfId="1904" xr:uid="{D5AE9D63-235F-4A43-93AD-E23D54C2A91B}"/>
    <cellStyle name="Nota 2 2 4 2 4 2 2" xfId="4218" xr:uid="{4FFD4E46-8339-4BF6-9B56-9D120C021892}"/>
    <cellStyle name="Nota 2 2 4 2 4 2 3" xfId="6263" xr:uid="{736EEB72-1268-4E64-A41D-BCA0C2086D6B}"/>
    <cellStyle name="Nota 2 2 4 2 4 2 4" xfId="7895" xr:uid="{B582FB26-2352-4300-84EB-280EF1A99EF6}"/>
    <cellStyle name="Nota 2 2 4 2 4 3" xfId="2361" xr:uid="{5410CAF8-1792-464B-B07B-65067FFBC290}"/>
    <cellStyle name="Nota 2 2 4 2 4 3 2" xfId="4675" xr:uid="{85B11096-2960-4B87-8846-5F3EEA1C3079}"/>
    <cellStyle name="Nota 2 2 4 2 4 3 3" xfId="6688" xr:uid="{6BF618A6-90CC-4EE5-969A-F5C5021B259D}"/>
    <cellStyle name="Nota 2 2 4 2 4 3 4" xfId="8177" xr:uid="{0A646A27-7FE9-4ABF-A39B-0782FEFAE9E9}"/>
    <cellStyle name="Nota 2 2 4 2 4 4" xfId="2773" xr:uid="{A7CD7227-1C2C-4BCB-A509-E23DC75CE8D3}"/>
    <cellStyle name="Nota 2 2 4 2 4 4 2" xfId="5087" xr:uid="{A2152484-0DF4-4CC5-ACF1-F39163EC4931}"/>
    <cellStyle name="Nota 2 2 4 2 4 4 3" xfId="7081" xr:uid="{1B9CED9A-F24E-47FB-B5B3-3F867674BAF9}"/>
    <cellStyle name="Nota 2 2 4 2 4 4 4" xfId="8442" xr:uid="{11100F38-74EF-4CE1-90F6-9CF2F263DDC1}"/>
    <cellStyle name="Nota 2 2 4 2 4 5" xfId="3067" xr:uid="{C5EA3FBC-02E0-4449-B948-1CFB42671717}"/>
    <cellStyle name="Nota 2 2 4 2 4 5 2" xfId="5381" xr:uid="{F2FF43D0-A67B-49CF-949C-30669A43643F}"/>
    <cellStyle name="Nota 2 2 4 2 4 5 3" xfId="7375" xr:uid="{E5C3E63B-333E-4E88-A4A6-EBC52F2AA4ED}"/>
    <cellStyle name="Nota 2 2 4 2 4 5 4" xfId="8619" xr:uid="{A41B8748-5BB5-4137-86AA-72808BB47E20}"/>
    <cellStyle name="Nota 2 2 4 2 4 6" xfId="1278" xr:uid="{9243FD24-A2B9-4F8B-B585-F25352E77853}"/>
    <cellStyle name="Nota 2 2 4 2 4 7" xfId="3606" xr:uid="{BFAA4CF5-2008-4239-8B9A-1D8B0598B196}"/>
    <cellStyle name="Nota 2 2 4 2 4 8" xfId="5708" xr:uid="{1A2B2593-747B-4701-8BEA-3C9D1B930121}"/>
    <cellStyle name="Nota 2 2 4 2 4 9" xfId="7537" xr:uid="{E1C4F2E8-0077-4231-A76A-C23BF63B937E}"/>
    <cellStyle name="Nota 2 2 4 2 5" xfId="570" xr:uid="{071558BB-1874-4704-993A-1105F5199FA4}"/>
    <cellStyle name="Nota 2 2 4 2 5 2" xfId="2028" xr:uid="{615E79D7-9043-442C-BE84-1171B9407E22}"/>
    <cellStyle name="Nota 2 2 4 2 5 2 2" xfId="4342" xr:uid="{3D7609E8-F9A7-4328-AB0D-AD46D2F88FB6}"/>
    <cellStyle name="Nota 2 2 4 2 5 2 3" xfId="6383" xr:uid="{241FADC3-FB8B-4D13-95BD-C0DD66562E26}"/>
    <cellStyle name="Nota 2 2 4 2 5 2 4" xfId="7960" xr:uid="{1EC17B3E-5590-459E-9199-74AE70FE77A7}"/>
    <cellStyle name="Nota 2 2 4 2 5 3" xfId="2480" xr:uid="{FBF97501-BDE4-4CD7-88EC-8AAD6FAC86CA}"/>
    <cellStyle name="Nota 2 2 4 2 5 3 2" xfId="4794" xr:uid="{A9B165D5-7548-4D2B-A319-057AB0EF75CD}"/>
    <cellStyle name="Nota 2 2 4 2 5 3 3" xfId="6804" xr:uid="{67FABAC6-4BE7-413B-B94E-B12580C12617}"/>
    <cellStyle name="Nota 2 2 4 2 5 3 4" xfId="8240" xr:uid="{AEB1C804-B6C3-446C-AA12-CE23B6E7C57E}"/>
    <cellStyle name="Nota 2 2 4 2 5 4" xfId="2885" xr:uid="{258A99CB-0EE3-4B90-8A8C-12D8682D8F0F}"/>
    <cellStyle name="Nota 2 2 4 2 5 4 2" xfId="5199" xr:uid="{49D19F70-07CC-4B10-B63F-0F443EE01BF8}"/>
    <cellStyle name="Nota 2 2 4 2 5 4 3" xfId="7193" xr:uid="{DA92A02B-D3C0-40AA-B4F7-A05203943B76}"/>
    <cellStyle name="Nota 2 2 4 2 5 4 4" xfId="8498" xr:uid="{DABB6FFF-20DD-43C1-AF0E-18C9C139131A}"/>
    <cellStyle name="Nota 2 2 4 2 5 5" xfId="3112" xr:uid="{D46A91D6-F110-4F44-BD31-0D7DF1980F06}"/>
    <cellStyle name="Nota 2 2 4 2 5 5 2" xfId="5426" xr:uid="{7AB27A14-C073-4C6A-A411-D9937B1B07AE}"/>
    <cellStyle name="Nota 2 2 4 2 5 5 3" xfId="7420" xr:uid="{4773F48C-C5C7-4320-B425-5E56F0E6B281}"/>
    <cellStyle name="Nota 2 2 4 2 5 5 4" xfId="8664" xr:uid="{A47D0A92-94EF-4D7E-A2E3-02B9A459B3DF}"/>
    <cellStyle name="Nota 2 2 4 2 5 6" xfId="1418" xr:uid="{AD0F7406-7497-4215-9FE9-5BF0235BECDE}"/>
    <cellStyle name="Nota 2 2 4 2 5 7" xfId="3734" xr:uid="{9C41EDDB-498A-4414-ACE3-D787100BDED6}"/>
    <cellStyle name="Nota 2 2 4 2 5 8" xfId="5824" xr:uid="{393675EF-8EC4-44FA-90BC-BF0D5D6CF6E7}"/>
    <cellStyle name="Nota 2 2 4 2 5 9" xfId="7589" xr:uid="{5D47E5E6-553C-456F-AB86-208FB6CE7391}"/>
    <cellStyle name="Nota 2 2 4 2 6" xfId="344" xr:uid="{25E07881-AA18-4D41-9F62-B30C77899C49}"/>
    <cellStyle name="Nota 2 2 4 2 6 2" xfId="1831" xr:uid="{B042E379-E16B-4643-B909-CA38A3D4C34C}"/>
    <cellStyle name="Nota 2 2 4 2 6 2 2" xfId="4145" xr:uid="{5C001F0F-20AE-4B1D-88AD-C616081254D2}"/>
    <cellStyle name="Nota 2 2 4 2 6 2 3" xfId="6194" xr:uid="{1440177D-42E3-452C-965B-B4589FA165C7}"/>
    <cellStyle name="Nota 2 2 4 2 6 2 4" xfId="7850" xr:uid="{642487D5-E334-494E-AFBA-583E6864577F}"/>
    <cellStyle name="Nota 2 2 4 2 6 3" xfId="2286" xr:uid="{CC608E8E-B530-464B-B047-40657CE75456}"/>
    <cellStyle name="Nota 2 2 4 2 6 3 2" xfId="4600" xr:uid="{096F14F3-8FB3-4CE2-A480-4EA31336584B}"/>
    <cellStyle name="Nota 2 2 4 2 6 3 3" xfId="6622" xr:uid="{DC3D132D-B643-4453-A79C-D6FF961EA037}"/>
    <cellStyle name="Nota 2 2 4 2 6 3 4" xfId="8132" xr:uid="{BAAD6C6F-2AD7-441A-B572-326B82F6D136}"/>
    <cellStyle name="Nota 2 2 4 2 6 4" xfId="2716" xr:uid="{22683104-B4DA-4308-9407-95C088036606}"/>
    <cellStyle name="Nota 2 2 4 2 6 4 2" xfId="5030" xr:uid="{2D1E4A3A-26F5-4E56-A80E-FA53AD5A89C4}"/>
    <cellStyle name="Nota 2 2 4 2 6 4 3" xfId="7024" xr:uid="{4778BCED-E226-425A-8AA7-189099FEE092}"/>
    <cellStyle name="Nota 2 2 4 2 6 4 4" xfId="8412" xr:uid="{37355B4D-0EAE-484A-B13A-D34602ED02EF}"/>
    <cellStyle name="Nota 2 2 4 2 6 5" xfId="2806" xr:uid="{8F3EA164-7D82-4829-8CF0-392098ED4B97}"/>
    <cellStyle name="Nota 2 2 4 2 6 5 2" xfId="5120" xr:uid="{A5143EC8-3E23-4FB0-B445-C0D7ABC16A04}"/>
    <cellStyle name="Nota 2 2 4 2 6 5 3" xfId="7114" xr:uid="{6F231091-2AB0-4657-BADA-3439BC1EE30E}"/>
    <cellStyle name="Nota 2 2 4 2 6 5 4" xfId="8461" xr:uid="{3CDB7B08-FC16-48A5-B5DF-5527C30159B7}"/>
    <cellStyle name="Nota 2 2 4 2 6 6" xfId="1192" xr:uid="{06498BD0-5992-4872-AD7F-D5D4E8BD974F}"/>
    <cellStyle name="Nota 2 2 4 2 6 7" xfId="3530" xr:uid="{E7D59C72-06C0-4391-85FF-C351D6571EE4}"/>
    <cellStyle name="Nota 2 2 4 2 6 8" xfId="5650" xr:uid="{4479E9D7-C061-4777-8221-56780E4E00F8}"/>
    <cellStyle name="Nota 2 2 4 2 6 9" xfId="5673" xr:uid="{27A57B36-1CC1-4AC7-A800-EF31394FEB96}"/>
    <cellStyle name="Nota 2 2 4 2 7" xfId="968" xr:uid="{2917DE15-698D-45CD-A0F2-C4577227C578}"/>
    <cellStyle name="Nota 2 2 4 2 7 2" xfId="3346" xr:uid="{DD9B5D2F-2C4C-40B1-8410-5913F63022FF}"/>
    <cellStyle name="Nota 2 2 4 2 7 3" xfId="778" xr:uid="{CFD9C4A5-04E2-4B64-813F-27028C822120}"/>
    <cellStyle name="Nota 2 2 4 2 7 4" xfId="6482" xr:uid="{2BA06FDF-67A8-4888-B4DE-D637A9E9980C}"/>
    <cellStyle name="Nota 2 2 4 2 8" xfId="1656" xr:uid="{7E11EBF6-70B2-4663-8FDC-2760619F8654}"/>
    <cellStyle name="Nota 2 2 4 2 8 2" xfId="3970" xr:uid="{0ACAB887-C388-46D9-86FC-84A833F9037C}"/>
    <cellStyle name="Nota 2 2 4 2 8 3" xfId="6027" xr:uid="{3CEB6B3C-A5BC-4109-AC17-C5868F119CF0}"/>
    <cellStyle name="Nota 2 2 4 2 8 4" xfId="7749" xr:uid="{3B07F1DD-9D0E-4A20-B190-57A93D17F3DC}"/>
    <cellStyle name="Nota 2 2 4 2 9" xfId="1965" xr:uid="{B2B9BFA4-D5F0-49BB-988B-96A89A318230}"/>
    <cellStyle name="Nota 2 2 4 2 9 2" xfId="4279" xr:uid="{8EFD02C4-08DB-40A7-A759-320DC6C876CE}"/>
    <cellStyle name="Nota 2 2 4 2 9 3" xfId="6321" xr:uid="{71D455C2-A808-44DA-BB22-11B2151D84F2}"/>
    <cellStyle name="Nota 2 2 4 2 9 4" xfId="7935" xr:uid="{34113326-D519-4CA2-A136-D3B88BF374C2}"/>
    <cellStyle name="Nota 2 2 4 3" xfId="157" xr:uid="{03F27DDD-56AB-4C2E-AF8A-6E0D826E4D6C}"/>
    <cellStyle name="Nota 2 2 4 3 2" xfId="294" xr:uid="{A63BC7B8-822C-42BA-BC19-ED132B5B36B3}"/>
    <cellStyle name="Nota 2 2 4 3 2 10" xfId="5611" xr:uid="{2615BEB4-86AD-447E-95F2-D8CC4C1BC32D}"/>
    <cellStyle name="Nota 2 2 4 3 2 11" xfId="5547" xr:uid="{26484979-2889-4834-9479-63CBC28F40DF}"/>
    <cellStyle name="Nota 2 2 4 3 2 2" xfId="662" xr:uid="{1B513312-D695-407C-890B-0184E2F1C22E}"/>
    <cellStyle name="Nota 2 2 4 3 2 2 2" xfId="2120" xr:uid="{A3EB1710-DB73-4D3B-A44B-5918B36A271D}"/>
    <cellStyle name="Nota 2 2 4 3 2 2 2 2" xfId="4434" xr:uid="{C6F4C33A-BFEA-45A8-BE37-F3125C9E7E68}"/>
    <cellStyle name="Nota 2 2 4 3 2 2 2 3" xfId="6462" xr:uid="{D6D3B4AF-830F-47EB-960A-33FC2380DBA4}"/>
    <cellStyle name="Nota 2 2 4 3 2 2 2 4" xfId="8029" xr:uid="{E60DBFC6-569D-4F36-8488-65854C2997C3}"/>
    <cellStyle name="Nota 2 2 4 3 2 2 3" xfId="2572" xr:uid="{33FE6C38-35B0-4A40-9D88-693510D7CC26}"/>
    <cellStyle name="Nota 2 2 4 3 2 2 3 2" xfId="4886" xr:uid="{9A240668-3B23-4E41-8622-E8F2752FF251}"/>
    <cellStyle name="Nota 2 2 4 3 2 2 3 3" xfId="6884" xr:uid="{D95802FD-EC6E-422A-8FA8-3E73CD926FD3}"/>
    <cellStyle name="Nota 2 2 4 3 2 2 3 4" xfId="8309" xr:uid="{E42D9D6A-E155-4188-A015-633353BC220B}"/>
    <cellStyle name="Nota 2 2 4 3 2 2 4" xfId="2959" xr:uid="{D59FB5A2-5887-41FE-9674-B0E228A87184}"/>
    <cellStyle name="Nota 2 2 4 3 2 2 4 2" xfId="5273" xr:uid="{6B0F6306-C6CD-416E-BCE0-EE426AE0829C}"/>
    <cellStyle name="Nota 2 2 4 3 2 2 4 3" xfId="7267" xr:uid="{667014C3-D61B-4E0C-8E2B-5E331FB75227}"/>
    <cellStyle name="Nota 2 2 4 3 2 2 4 4" xfId="8549" xr:uid="{0018A8AD-19A3-4CBC-88D9-8645B8DBC7D7}"/>
    <cellStyle name="Nota 2 2 4 3 2 2 5" xfId="3161" xr:uid="{05902832-0923-427E-B9FE-1C223A544430}"/>
    <cellStyle name="Nota 2 2 4 3 2 2 5 2" xfId="5475" xr:uid="{630C2C5B-59A4-4900-839D-1C75EF683A5B}"/>
    <cellStyle name="Nota 2 2 4 3 2 2 5 3" xfId="7469" xr:uid="{B9C49FE9-221B-4C43-98CC-59DEB9A17C53}"/>
    <cellStyle name="Nota 2 2 4 3 2 2 5 4" xfId="8713" xr:uid="{60FFD151-DBAC-44DC-A308-96E7C67B3BAE}"/>
    <cellStyle name="Nota 2 2 4 3 2 2 6" xfId="1510" xr:uid="{37434C1C-080E-47F4-8C8E-EDA5F8E8130E}"/>
    <cellStyle name="Nota 2 2 4 3 2 2 7" xfId="3826" xr:uid="{DE5FC124-7823-467B-A4DC-BE4CFB9EB818}"/>
    <cellStyle name="Nota 2 2 4 3 2 2 8" xfId="5901" xr:uid="{56F7D51F-1C2A-4312-B3F8-BD741E7628C2}"/>
    <cellStyle name="Nota 2 2 4 3 2 2 9" xfId="7658" xr:uid="{C5BA7021-C4B3-42C3-9713-75C7F1E92346}"/>
    <cellStyle name="Nota 2 2 4 3 2 3" xfId="737" xr:uid="{BF3128C6-4BD7-4BA1-9A58-3B20CDFB5F10}"/>
    <cellStyle name="Nota 2 2 4 3 2 3 2" xfId="2195" xr:uid="{8C38A538-478F-4D23-AEB8-BB09AAD53142}"/>
    <cellStyle name="Nota 2 2 4 3 2 3 2 2" xfId="4509" xr:uid="{CD48FA6A-3CF2-4D3B-A0ED-A412703BCAEB}"/>
    <cellStyle name="Nota 2 2 4 3 2 3 2 3" xfId="6531" xr:uid="{A9D03633-9EB7-4294-8EAF-4CB029F2AF22}"/>
    <cellStyle name="Nota 2 2 4 3 2 3 2 4" xfId="8078" xr:uid="{DF810FBF-E24B-469C-B662-1D239D498D39}"/>
    <cellStyle name="Nota 2 2 4 3 2 3 3" xfId="2647" xr:uid="{677CA184-11C5-4629-964C-B956BC3F1D48}"/>
    <cellStyle name="Nota 2 2 4 3 2 3 3 2" xfId="4961" xr:uid="{3356AC9B-0F66-4DBF-99E5-5EC40F0D5D98}"/>
    <cellStyle name="Nota 2 2 4 3 2 3 3 3" xfId="6955" xr:uid="{4BED4C4A-11E0-4DDF-BD2E-B922B459CC00}"/>
    <cellStyle name="Nota 2 2 4 3 2 3 3 4" xfId="8358" xr:uid="{8E2A66DA-6834-435F-9DE0-89B3AE49BAFA}"/>
    <cellStyle name="Nota 2 2 4 3 2 3 4" xfId="3022" xr:uid="{B5D5BD09-BF2A-4F92-B4ED-6B0CAFFE4330}"/>
    <cellStyle name="Nota 2 2 4 3 2 3 4 2" xfId="5336" xr:uid="{49AF979A-60AD-4D9F-BCDA-E760C1615556}"/>
    <cellStyle name="Nota 2 2 4 3 2 3 4 3" xfId="7330" xr:uid="{2196AB12-8636-4C31-9595-CA44149967D9}"/>
    <cellStyle name="Nota 2 2 4 3 2 3 4 4" xfId="8586" xr:uid="{8E1C4484-7A37-4CCC-BEE2-4C46CF8664CA}"/>
    <cellStyle name="Nota 2 2 4 3 2 3 5" xfId="3198" xr:uid="{67ED9B41-850A-402F-9147-F4E2D25AEA32}"/>
    <cellStyle name="Nota 2 2 4 3 2 3 5 2" xfId="5512" xr:uid="{A83F06F5-9667-4D31-BFE5-9E56952E6173}"/>
    <cellStyle name="Nota 2 2 4 3 2 3 5 3" xfId="7506" xr:uid="{BE5D2C67-7554-4072-9DAD-A51DCD2247D6}"/>
    <cellStyle name="Nota 2 2 4 3 2 3 5 4" xfId="8750" xr:uid="{259DE6CF-004C-411A-9076-AB4EA2007369}"/>
    <cellStyle name="Nota 2 2 4 3 2 3 6" xfId="1585" xr:uid="{5BCBFA90-DBC7-4B8E-B889-286192050C8E}"/>
    <cellStyle name="Nota 2 2 4 3 2 3 7" xfId="3901" xr:uid="{FF651804-4A34-4B0E-A435-B696B453F84C}"/>
    <cellStyle name="Nota 2 2 4 3 2 3 8" xfId="5968" xr:uid="{27D69103-0D2B-47B0-9FF1-C7A60CFA7FAC}"/>
    <cellStyle name="Nota 2 2 4 3 2 3 9" xfId="7707" xr:uid="{DF74A11C-8C59-4B4A-AA50-0FB0D5B96341}"/>
    <cellStyle name="Nota 2 2 4 3 2 4" xfId="1787" xr:uid="{3397637C-22D6-4560-8AF8-37203EB53AF7}"/>
    <cellStyle name="Nota 2 2 4 3 2 4 2" xfId="4101" xr:uid="{509F4FDD-0F10-4324-90A3-C020CD0529DD}"/>
    <cellStyle name="Nota 2 2 4 3 2 4 3" xfId="6150" xr:uid="{EEBC366C-1C21-462F-83D7-C6BC12468145}"/>
    <cellStyle name="Nota 2 2 4 3 2 4 4" xfId="7825" xr:uid="{DB864578-85DB-40AC-90C3-5FF63A848346}"/>
    <cellStyle name="Nota 2 2 4 3 2 5" xfId="2247" xr:uid="{FA0E2617-FFF6-4EBE-9DAD-583A40D07747}"/>
    <cellStyle name="Nota 2 2 4 3 2 5 2" xfId="4561" xr:uid="{DAC1754D-7E08-4BE7-8FEE-DACED094B1F8}"/>
    <cellStyle name="Nota 2 2 4 3 2 5 3" xfId="6583" xr:uid="{4A1B3F9E-B9D7-4003-992E-E65D21B164FE}"/>
    <cellStyle name="Nota 2 2 4 3 2 5 4" xfId="8108" xr:uid="{41281305-6DEB-4D6D-8368-E75A5CF6948B}"/>
    <cellStyle name="Nota 2 2 4 3 2 6" xfId="2686" xr:uid="{783C0AB3-0EF1-489F-951C-A8CC838F04BE}"/>
    <cellStyle name="Nota 2 2 4 3 2 6 2" xfId="5000" xr:uid="{A2FEDCB4-CF25-4179-8A5F-9190128EA3F9}"/>
    <cellStyle name="Nota 2 2 4 3 2 6 3" xfId="6994" xr:uid="{E2183E81-9674-46C6-8E53-9919472B2913}"/>
    <cellStyle name="Nota 2 2 4 3 2 6 4" xfId="8385" xr:uid="{21F146F3-B970-4E30-B2F0-2D8514D0DB33}"/>
    <cellStyle name="Nota 2 2 4 3 2 7" xfId="3047" xr:uid="{F2292366-EC0B-43E9-B8DD-2CCA84F63C2E}"/>
    <cellStyle name="Nota 2 2 4 3 2 7 2" xfId="5361" xr:uid="{0E2E0BB4-A575-412E-B69A-5337A690AD95}"/>
    <cellStyle name="Nota 2 2 4 3 2 7 3" xfId="7355" xr:uid="{84D26256-16AA-4459-948E-561CC0A8F62F}"/>
    <cellStyle name="Nota 2 2 4 3 2 7 4" xfId="8599" xr:uid="{F046DBB5-F980-4C7F-A68F-B3456A533513}"/>
    <cellStyle name="Nota 2 2 4 3 2 8" xfId="1142" xr:uid="{7E4C346E-B768-4A1C-9D51-427F02CA266F}"/>
    <cellStyle name="Nota 2 2 4 3 2 9" xfId="3492" xr:uid="{F1310845-4B8A-4E03-B894-4CC1EC7CB32C}"/>
    <cellStyle name="Nota 2 2 4 3 3" xfId="468" xr:uid="{E6969966-429A-40E2-B404-6925E216BF33}"/>
    <cellStyle name="Nota 2 2 4 3 3 2" xfId="1935" xr:uid="{94F0AE75-BE00-430D-BC19-4922C56178EE}"/>
    <cellStyle name="Nota 2 2 4 3 3 2 2" xfId="4249" xr:uid="{E3E1E1C2-4656-490F-A917-8EC6E6CF8508}"/>
    <cellStyle name="Nota 2 2 4 3 3 2 3" xfId="6294" xr:uid="{50E19B7A-31FB-4040-8907-AF54D9384FFC}"/>
    <cellStyle name="Nota 2 2 4 3 3 2 4" xfId="7912" xr:uid="{293AC616-03AE-464E-AB6F-074EEFE33897}"/>
    <cellStyle name="Nota 2 2 4 3 3 3" xfId="2390" xr:uid="{EA9B8F18-83C9-4F16-8DF0-2297395378EE}"/>
    <cellStyle name="Nota 2 2 4 3 3 3 2" xfId="4704" xr:uid="{E2A00524-FF59-42D9-A2E5-158FF4215B1F}"/>
    <cellStyle name="Nota 2 2 4 3 3 3 3" xfId="6717" xr:uid="{FD23CAFC-0F71-45EB-8187-234DA864A203}"/>
    <cellStyle name="Nota 2 2 4 3 3 3 4" xfId="8193" xr:uid="{B417AAFF-37E2-4647-BE5A-4944C0F2B600}"/>
    <cellStyle name="Nota 2 2 4 3 3 4" xfId="2801" xr:uid="{1F697FB2-E462-46F4-A850-C41D09CDEE95}"/>
    <cellStyle name="Nota 2 2 4 3 3 4 2" xfId="5115" xr:uid="{283B7FDD-1380-43EC-AE84-A189889493F4}"/>
    <cellStyle name="Nota 2 2 4 3 3 4 3" xfId="7109" xr:uid="{04436326-38DC-4429-8675-A8808468F51F}"/>
    <cellStyle name="Nota 2 2 4 3 3 4 4" xfId="8457" xr:uid="{C1417FFD-3F52-4D1B-A4FB-20A2FEE5A598}"/>
    <cellStyle name="Nota 2 2 4 3 3 5" xfId="3079" xr:uid="{54A5149F-90EA-48B5-B26D-78CDCB7E57FB}"/>
    <cellStyle name="Nota 2 2 4 3 3 5 2" xfId="5393" xr:uid="{2E59F5ED-6E41-4AA8-8747-51F1CAA88CE8}"/>
    <cellStyle name="Nota 2 2 4 3 3 5 3" xfId="7387" xr:uid="{C3DB2040-2973-4082-A9D0-5E39764BF1C8}"/>
    <cellStyle name="Nota 2 2 4 3 3 5 4" xfId="8631" xr:uid="{1333A0EB-CC55-4790-9997-A96C113986E9}"/>
    <cellStyle name="Nota 2 2 4 3 3 6" xfId="1316" xr:uid="{894EB745-7AF3-4BF5-BCE1-9D3C9794EE60}"/>
    <cellStyle name="Nota 2 2 4 3 3 7" xfId="3640" xr:uid="{913DC89E-FAAB-4F37-90C4-C1581DA112A5}"/>
    <cellStyle name="Nota 2 2 4 3 3 8" xfId="5738" xr:uid="{1E75E4D1-FB5A-4DB1-8E23-49FEF8CF1D11}"/>
    <cellStyle name="Nota 2 2 4 3 3 9" xfId="7549" xr:uid="{73651D9C-ED54-4A5D-B883-7A135FBD34AC}"/>
    <cellStyle name="Nota 2 2 4 3 4" xfId="2675" xr:uid="{4EC85F68-30F4-4B8A-A931-7A303166B7D9}"/>
    <cellStyle name="Nota 2 2 4 3 4 2" xfId="4989" xr:uid="{5761BE6B-271E-481A-927B-258DBE599F39}"/>
    <cellStyle name="Nota 2 2 4 3 4 3" xfId="6983" xr:uid="{6F95A240-3692-449A-89D7-B1C6E711BDE7}"/>
    <cellStyle name="Nota 2 2 4 3 4 4" xfId="8374" xr:uid="{F8287907-3DF0-4E5A-BD86-0E5C10964548}"/>
    <cellStyle name="Nota 2 2 4 3 5" xfId="1005" xr:uid="{76486A8E-24A6-498C-8EE5-63BD05B42490}"/>
    <cellStyle name="Nota 2 2 4 3 6" xfId="3376" xr:uid="{E257A3D2-BCE9-4B55-A7A1-008CAB8A326C}"/>
    <cellStyle name="Nota 2 2 4 3 7" xfId="768" xr:uid="{4633098C-E032-4D68-8C8A-A2D936C1C325}"/>
    <cellStyle name="Nota 2 2 4 3 8" xfId="3340" xr:uid="{95492CD7-5A74-4665-811D-B508776EE8A5}"/>
    <cellStyle name="Nota 2 2 4 4" xfId="224" xr:uid="{602B9312-E860-4279-A202-F51D4B8C1B3A}"/>
    <cellStyle name="Nota 2 2 4 4 10" xfId="5561" xr:uid="{8CAA3F1A-F951-4814-A5A1-93EC626565C7}"/>
    <cellStyle name="Nota 2 2 4 4 11" xfId="5543" xr:uid="{35258C84-0F0B-477A-BD64-87C0C6098644}"/>
    <cellStyle name="Nota 2 2 4 4 2" xfId="616" xr:uid="{756DADBD-57D7-46AC-9612-91012F779EA3}"/>
    <cellStyle name="Nota 2 2 4 4 2 2" xfId="2074" xr:uid="{A11A12B9-6597-4742-B1AF-1CD553486436}"/>
    <cellStyle name="Nota 2 2 4 4 2 2 2" xfId="4388" xr:uid="{B4A8E42A-50D2-41CB-816D-B082B2FCB605}"/>
    <cellStyle name="Nota 2 2 4 4 2 2 3" xfId="6428" xr:uid="{1CCFC0CD-4AC1-4A2A-8B38-78D865C9662F}"/>
    <cellStyle name="Nota 2 2 4 4 2 2 4" xfId="7986" xr:uid="{1ADF8838-9C93-40A2-AA2C-A3C78E19F3C6}"/>
    <cellStyle name="Nota 2 2 4 4 2 3" xfId="2526" xr:uid="{F5722E4C-F6B7-4FF0-839B-663068A344F2}"/>
    <cellStyle name="Nota 2 2 4 4 2 3 2" xfId="4840" xr:uid="{FB34AEA7-BBCF-4C8A-9BCD-6C0DDE344869}"/>
    <cellStyle name="Nota 2 2 4 4 2 3 3" xfId="6849" xr:uid="{3E696967-2033-4CE5-8537-030165CEA613}"/>
    <cellStyle name="Nota 2 2 4 4 2 3 4" xfId="8266" xr:uid="{FE6F0181-375A-4AB0-980E-B6F15A20AFB1}"/>
    <cellStyle name="Nota 2 2 4 4 2 4" xfId="2929" xr:uid="{237BB1EC-1985-41E1-98AF-7F18EEFF8BFE}"/>
    <cellStyle name="Nota 2 2 4 4 2 4 2" xfId="5243" xr:uid="{FC974B94-90E1-4599-BC40-5CBAF33B6BF0}"/>
    <cellStyle name="Nota 2 2 4 4 2 4 3" xfId="7237" xr:uid="{4184A168-976A-462D-9DDA-E969DB4EC242}"/>
    <cellStyle name="Nota 2 2 4 4 2 4 4" xfId="8522" xr:uid="{D194A32C-80A6-4F91-97A5-DA2A26B19FC2}"/>
    <cellStyle name="Nota 2 2 4 4 2 5" xfId="3136" xr:uid="{6F86C0B2-5B70-44FA-ADE3-6495687AC51C}"/>
    <cellStyle name="Nota 2 2 4 4 2 5 2" xfId="5450" xr:uid="{F026DF22-53B4-41B7-86CD-AB853A3BCE0E}"/>
    <cellStyle name="Nota 2 2 4 4 2 5 3" xfId="7444" xr:uid="{BDB9F29E-FCE5-4E83-8A09-D72AA01E0C44}"/>
    <cellStyle name="Nota 2 2 4 4 2 5 4" xfId="8688" xr:uid="{B7CAE0B8-6603-4D57-B580-0B128CF86DBB}"/>
    <cellStyle name="Nota 2 2 4 4 2 6" xfId="1464" xr:uid="{E141887A-8359-430E-8765-4C1FB3D2C9DA}"/>
    <cellStyle name="Nota 2 2 4 4 2 7" xfId="3780" xr:uid="{E737191F-4CE8-4CB5-AA4B-5E75FE9D3993}"/>
    <cellStyle name="Nota 2 2 4 4 2 8" xfId="5869" xr:uid="{47498399-73F4-447B-BAE7-7D399F395BDD}"/>
    <cellStyle name="Nota 2 2 4 4 2 9" xfId="7615" xr:uid="{A246BDEE-CAA7-4B37-839B-E31B9BB03CB5}"/>
    <cellStyle name="Nota 2 2 4 4 3" xfId="695" xr:uid="{A05D5BB6-4596-4DC1-A7E1-B38CDC9A9E8C}"/>
    <cellStyle name="Nota 2 2 4 4 3 2" xfId="2153" xr:uid="{A5E65AF2-5D0B-40CF-9576-ACCA11B93744}"/>
    <cellStyle name="Nota 2 2 4 4 3 2 2" xfId="4467" xr:uid="{7CD15B83-A719-4A69-9959-7E6DFC1CBB54}"/>
    <cellStyle name="Nota 2 2 4 4 3 2 3" xfId="6489" xr:uid="{9F4B92ED-BC64-48D6-AC13-65BD4F27AFEA}"/>
    <cellStyle name="Nota 2 2 4 4 3 2 4" xfId="8057" xr:uid="{308A9AF8-10C5-4079-B939-78B7B0D7811B}"/>
    <cellStyle name="Nota 2 2 4 4 3 3" xfId="2605" xr:uid="{F44445C4-CD3C-4F5D-9AD8-B312150E192C}"/>
    <cellStyle name="Nota 2 2 4 4 3 3 2" xfId="4919" xr:uid="{7FD3CA9F-E975-4FE0-9725-17B3EEFBFA3D}"/>
    <cellStyle name="Nota 2 2 4 4 3 3 3" xfId="6913" xr:uid="{268A47D9-FD6B-4530-B8E3-63CA9D752360}"/>
    <cellStyle name="Nota 2 2 4 4 3 3 4" xfId="8337" xr:uid="{A3C21A8A-61BC-42E4-97B1-96605D19D561}"/>
    <cellStyle name="Nota 2 2 4 4 3 4" xfId="2980" xr:uid="{2DD19C75-97E7-4C26-8138-E36E537CF524}"/>
    <cellStyle name="Nota 2 2 4 4 3 4 2" xfId="5294" xr:uid="{10F7B1B9-E974-46A2-BA25-428B50E5196D}"/>
    <cellStyle name="Nota 2 2 4 4 3 4 3" xfId="7288" xr:uid="{0CF7CC51-732F-450D-871F-5392C255832F}"/>
    <cellStyle name="Nota 2 2 4 4 3 4 4" xfId="8565" xr:uid="{9FC6E457-DC58-434C-AB24-C7917A06D80A}"/>
    <cellStyle name="Nota 2 2 4 4 3 5" xfId="3177" xr:uid="{8AF8ED8B-AAC1-4A4B-9152-EC2F2CD99EDB}"/>
    <cellStyle name="Nota 2 2 4 4 3 5 2" xfId="5491" xr:uid="{066FF662-26A3-499A-99F3-C6273D3AC049}"/>
    <cellStyle name="Nota 2 2 4 4 3 5 3" xfId="7485" xr:uid="{842B9CFA-1BEA-4C74-987F-6756CECEE198}"/>
    <cellStyle name="Nota 2 2 4 4 3 5 4" xfId="8729" xr:uid="{0431D902-1720-43DC-B16D-B1A52C4779E5}"/>
    <cellStyle name="Nota 2 2 4 4 3 6" xfId="1543" xr:uid="{74CCC800-AF35-48E2-BEEA-B9B1FBF4E9C5}"/>
    <cellStyle name="Nota 2 2 4 4 3 7" xfId="3859" xr:uid="{5A42EF58-D3DC-4A85-81D8-BB00AEEEA443}"/>
    <cellStyle name="Nota 2 2 4 4 3 8" xfId="5926" xr:uid="{435E852A-E518-4D73-9638-92CF33BBE7E7}"/>
    <cellStyle name="Nota 2 2 4 4 3 9" xfId="7686" xr:uid="{802FB7E6-4711-4CB4-99F6-BC4E3B3DD53E}"/>
    <cellStyle name="Nota 2 2 4 4 4" xfId="1730" xr:uid="{A4E74488-A96E-4A38-8E0A-41EA0789DC02}"/>
    <cellStyle name="Nota 2 2 4 4 4 2" xfId="4044" xr:uid="{74A04C36-6D6A-4D43-BFC8-B5907D2C80B3}"/>
    <cellStyle name="Nota 2 2 4 4 4 3" xfId="6096" xr:uid="{084281DB-A4F3-4AD2-B618-19AEE0AEB959}"/>
    <cellStyle name="Nota 2 2 4 4 4 4" xfId="7792" xr:uid="{BFE07121-FE36-4A3D-9A6A-C1E3C97A2260}"/>
    <cellStyle name="Nota 2 2 4 4 5" xfId="1634" xr:uid="{B794746D-7BD4-44D9-854F-83F8657767C3}"/>
    <cellStyle name="Nota 2 2 4 4 5 2" xfId="3948" xr:uid="{D92A9DB4-4346-48F9-B210-2884CA4D49E0}"/>
    <cellStyle name="Nota 2 2 4 4 5 3" xfId="6008" xr:uid="{11B6909C-A1B5-45AF-B3A9-AA0986DB73C2}"/>
    <cellStyle name="Nota 2 2 4 4 5 4" xfId="7731" xr:uid="{3A975196-27C4-401D-8E60-2ADB1FD1EC0C}"/>
    <cellStyle name="Nota 2 2 4 4 6" xfId="2339" xr:uid="{00D4D371-415F-4290-833F-ADC2A2AB98A9}"/>
    <cellStyle name="Nota 2 2 4 4 6 2" xfId="4653" xr:uid="{4B7FF8F4-ED99-4272-80DC-BB6381A60613}"/>
    <cellStyle name="Nota 2 2 4 4 6 3" xfId="6668" xr:uid="{F9FC8321-72E5-4DEE-BD35-29C9490E9B2F}"/>
    <cellStyle name="Nota 2 2 4 4 6 4" xfId="8160" xr:uid="{95785961-095C-46C3-ADBA-DE6E8DBB4B60}"/>
    <cellStyle name="Nota 2 2 4 4 7" xfId="2775" xr:uid="{A647D3FF-B432-42AC-9541-33D1A2EADAB7}"/>
    <cellStyle name="Nota 2 2 4 4 7 2" xfId="5089" xr:uid="{9AC9955C-8C8F-4311-9F69-FBF2C6645606}"/>
    <cellStyle name="Nota 2 2 4 4 7 3" xfId="7083" xr:uid="{42B1246E-246B-436D-9B04-312D18AFFA8C}"/>
    <cellStyle name="Nota 2 2 4 4 7 4" xfId="8443" xr:uid="{4BA9824B-F884-405A-B123-C3839678409B}"/>
    <cellStyle name="Nota 2 2 4 4 8" xfId="1072" xr:uid="{DC91E2B4-9AE8-46C2-9603-000172C57F58}"/>
    <cellStyle name="Nota 2 2 4 4 9" xfId="3430" xr:uid="{1BBF56F4-E1F6-4FCD-9C3A-1E90AA9B4AE7}"/>
    <cellStyle name="Nota 2 2 4 5" xfId="396" xr:uid="{47FB2A80-570B-41BB-A697-1517B04CBC5B}"/>
    <cellStyle name="Nota 2 2 4 5 2" xfId="1877" xr:uid="{5E7B2697-B79F-4A38-8681-334CF8AFF5D3}"/>
    <cellStyle name="Nota 2 2 4 5 2 2" xfId="4191" xr:uid="{E2EF1660-0EAB-41EA-9B7D-6D8A4D029F28}"/>
    <cellStyle name="Nota 2 2 4 5 2 3" xfId="6237" xr:uid="{575904DC-7D5A-45F7-B1D4-BEF18E82CC77}"/>
    <cellStyle name="Nota 2 2 4 5 2 4" xfId="7875" xr:uid="{36DEA714-8C62-45CB-91AA-BA0B15BE564A}"/>
    <cellStyle name="Nota 2 2 4 5 3" xfId="2334" xr:uid="{E0A74129-961B-4BBF-B6A1-83743C51FA19}"/>
    <cellStyle name="Nota 2 2 4 5 3 2" xfId="4648" xr:uid="{F124B69E-1F63-4460-81E4-435E004CA4AD}"/>
    <cellStyle name="Nota 2 2 4 5 3 3" xfId="6663" xr:uid="{B034A21A-C384-459E-83EC-B7E882C8B79E}"/>
    <cellStyle name="Nota 2 2 4 5 3 4" xfId="8158" xr:uid="{FAD8C652-0B80-401E-A42A-B5403683CC6C}"/>
    <cellStyle name="Nota 2 2 4 5 4" xfId="2750" xr:uid="{75AB9014-E754-41AA-B4B8-51983EE9FCA9}"/>
    <cellStyle name="Nota 2 2 4 5 4 2" xfId="5064" xr:uid="{4F18B262-2BA2-4F38-B2F0-62D3ACD80168}"/>
    <cellStyle name="Nota 2 2 4 5 4 3" xfId="7058" xr:uid="{5BCF5706-FD68-4405-8952-E30F62BCB8A1}"/>
    <cellStyle name="Nota 2 2 4 5 4 4" xfId="8425" xr:uid="{37BED3C7-1C7E-40FC-BDC7-557A439F63BC}"/>
    <cellStyle name="Nota 2 2 4 5 5" xfId="3056" xr:uid="{2699B5A8-326A-4E09-8691-3C48672D3D41}"/>
    <cellStyle name="Nota 2 2 4 5 5 2" xfId="5370" xr:uid="{2CFCE7CD-346B-4A9F-86A3-6425DFD4156A}"/>
    <cellStyle name="Nota 2 2 4 5 5 3" xfId="7364" xr:uid="{CCA6B5F3-70DC-411F-8032-4DACC8B9713F}"/>
    <cellStyle name="Nota 2 2 4 5 5 4" xfId="8608" xr:uid="{7B488EE6-0BA4-47EA-95A6-09147E8D4D59}"/>
    <cellStyle name="Nota 2 2 4 5 6" xfId="1244" xr:uid="{C2953354-4072-48F5-94FC-6F5C0FA223CC}"/>
    <cellStyle name="Nota 2 2 4 5 7" xfId="3577" xr:uid="{8142F9F0-75FE-4586-AB35-9F324760EF38}"/>
    <cellStyle name="Nota 2 2 4 5 8" xfId="5688" xr:uid="{D9E8222F-9FEB-40A4-845C-1E370C1E7009}"/>
    <cellStyle name="Nota 2 2 4 5 9" xfId="7523" xr:uid="{D5C7820D-F42E-4CBF-A63D-2162BF659716}"/>
    <cellStyle name="Nota 2 2 4 6" xfId="552" xr:uid="{19460ADA-3F6F-4EAD-B91D-C99476BA3E0A}"/>
    <cellStyle name="Nota 2 2 4 6 2" xfId="2010" xr:uid="{1D95306E-2B7B-40F7-B755-5AD96077F49D}"/>
    <cellStyle name="Nota 2 2 4 6 2 2" xfId="4324" xr:uid="{EBC9CD46-6172-429B-AA03-8485C0B044DF}"/>
    <cellStyle name="Nota 2 2 4 6 2 3" xfId="6365" xr:uid="{1045C4F2-9F6D-467C-A744-877E98C4CBB0}"/>
    <cellStyle name="Nota 2 2 4 6 2 4" xfId="7948" xr:uid="{9ECD2A36-B329-4477-9D01-CCE49839D80C}"/>
    <cellStyle name="Nota 2 2 4 6 3" xfId="2462" xr:uid="{DE83F27C-2CDC-4240-98AF-11C8EB30BA69}"/>
    <cellStyle name="Nota 2 2 4 6 3 2" xfId="4776" xr:uid="{16EE8224-78A4-40EC-B7A2-2D55D2E2F238}"/>
    <cellStyle name="Nota 2 2 4 6 3 3" xfId="6786" xr:uid="{813DCD06-78F7-4756-BEBB-D0A23E1D04F8}"/>
    <cellStyle name="Nota 2 2 4 6 3 4" xfId="8228" xr:uid="{75A27D2C-37EE-4F92-AA88-6C390567CB8D}"/>
    <cellStyle name="Nota 2 2 4 6 4" xfId="2867" xr:uid="{31688C73-C085-4C3A-8EB7-3A6117C28E72}"/>
    <cellStyle name="Nota 2 2 4 6 4 2" xfId="5181" xr:uid="{924EAAF5-F2AC-4863-8C46-A31D8FF3124E}"/>
    <cellStyle name="Nota 2 2 4 6 4 3" xfId="7175" xr:uid="{2F6B4152-F8E9-4F08-BEA8-6E3503D4E4CB}"/>
    <cellStyle name="Nota 2 2 4 6 4 4" xfId="8486" xr:uid="{D0CC840C-4286-48F5-890B-7635817AD81B}"/>
    <cellStyle name="Nota 2 2 4 6 5" xfId="3100" xr:uid="{38584D54-81CC-4481-9BC0-DD68DE2A4A40}"/>
    <cellStyle name="Nota 2 2 4 6 5 2" xfId="5414" xr:uid="{1CBC5157-6FFA-4E9C-A332-5F0ACEEFB5EE}"/>
    <cellStyle name="Nota 2 2 4 6 5 3" xfId="7408" xr:uid="{F103E7EF-0F12-49E1-9DBD-92BE5FF50D55}"/>
    <cellStyle name="Nota 2 2 4 6 5 4" xfId="8652" xr:uid="{5EF58FEF-3CBA-418F-B02F-AFDF1C74224A}"/>
    <cellStyle name="Nota 2 2 4 6 6" xfId="1400" xr:uid="{7C553929-4CEB-46EA-A2A5-353DD3BFDC92}"/>
    <cellStyle name="Nota 2 2 4 6 7" xfId="3716" xr:uid="{5FFA538D-6743-41F0-BEA4-E1C475D99243}"/>
    <cellStyle name="Nota 2 2 4 6 8" xfId="5806" xr:uid="{39CCAB51-A058-4765-945A-BCA3E1D6C8F8}"/>
    <cellStyle name="Nota 2 2 4 6 9" xfId="7577" xr:uid="{6A498B44-E807-4A95-9D3A-1A79C863A06C}"/>
    <cellStyle name="Nota 2 2 4 7" xfId="364" xr:uid="{656A0F13-6127-4B7A-B90B-73ACFAC022C0}"/>
    <cellStyle name="Nota 2 2 4 7 2" xfId="1851" xr:uid="{2D7E0656-2990-4C7F-9068-66FDC2D228E7}"/>
    <cellStyle name="Nota 2 2 4 7 2 2" xfId="4165" xr:uid="{2C589456-05DC-4793-91F5-A18AB64149ED}"/>
    <cellStyle name="Nota 2 2 4 7 2 3" xfId="6214" xr:uid="{4A1847F2-8DA5-43FA-95E5-F194DE49BB55}"/>
    <cellStyle name="Nota 2 2 4 7 2 4" xfId="7852" xr:uid="{F6A6D3AE-7799-4693-A89A-3186D88E87A3}"/>
    <cellStyle name="Nota 2 2 4 7 3" xfId="2306" xr:uid="{26EA6846-B004-4B30-9AE0-43CECDB679A1}"/>
    <cellStyle name="Nota 2 2 4 7 3 2" xfId="4620" xr:uid="{3622B93F-204A-4002-818B-1069692B5F00}"/>
    <cellStyle name="Nota 2 2 4 7 3 3" xfId="6642" xr:uid="{31A5FFC6-5234-4F54-8188-4C20801FD5D7}"/>
    <cellStyle name="Nota 2 2 4 7 3 4" xfId="8134" xr:uid="{07FA900F-D261-4E52-B533-3ED8FCFFBE4C}"/>
    <cellStyle name="Nota 2 2 4 7 4" xfId="2736" xr:uid="{F4E5836E-7C67-4D5F-818D-8A0065D7A0CD}"/>
    <cellStyle name="Nota 2 2 4 7 4 2" xfId="5050" xr:uid="{88F86425-5EDE-4C22-B616-EFBFD60B33F0}"/>
    <cellStyle name="Nota 2 2 4 7 4 3" xfId="7044" xr:uid="{CD6747A4-1663-42C6-ABF7-321A22FB05B4}"/>
    <cellStyle name="Nota 2 2 4 7 4 4" xfId="8414" xr:uid="{C32F434C-6D38-4C57-B6BE-FA454A554CC9}"/>
    <cellStyle name="Nota 2 2 4 7 5" xfId="1914" xr:uid="{91A56BA3-29C3-46DC-9BFE-F8009367AE1A}"/>
    <cellStyle name="Nota 2 2 4 7 5 2" xfId="4228" xr:uid="{99E808B7-C9EF-4AA7-A9D2-FFE6F496D428}"/>
    <cellStyle name="Nota 2 2 4 7 5 3" xfId="6273" xr:uid="{A1FF0B2F-A44A-4D9B-8D90-DBB0A6F1A5AD}"/>
    <cellStyle name="Nota 2 2 4 7 5 4" xfId="7899" xr:uid="{852F62AF-26F3-4412-B91D-01032D003138}"/>
    <cellStyle name="Nota 2 2 4 7 6" xfId="1212" xr:uid="{07A0928E-1F54-45CE-87F6-FA8A2A47D4C0}"/>
    <cellStyle name="Nota 2 2 4 7 7" xfId="3550" xr:uid="{C14D7AA5-3311-42A5-8687-731E93B42975}"/>
    <cellStyle name="Nota 2 2 4 7 8" xfId="5670" xr:uid="{E026DDCE-583A-4C86-9659-EAF66E48AF46}"/>
    <cellStyle name="Nota 2 2 4 7 9" xfId="5718" xr:uid="{FCB6F87C-5432-4928-BB75-5D5E7945D97E}"/>
    <cellStyle name="Nota 2 2 4 8" xfId="928" xr:uid="{8D6045AF-08F5-4178-93AA-F7B93A40A282}"/>
    <cellStyle name="Nota 2 2 4 8 2" xfId="3310" xr:uid="{11942A21-BC0A-4DD0-93DE-306F2A9DED86}"/>
    <cellStyle name="Nota 2 2 4 8 3" xfId="3438" xr:uid="{D56EB6F6-964A-4B2D-9D2F-52B84CF49828}"/>
    <cellStyle name="Nota 2 2 4 8 4" xfId="5538" xr:uid="{DE08EB89-4C53-41CC-9F1A-6D284337FA06}"/>
    <cellStyle name="Nota 2 2 4 9" xfId="1626" xr:uid="{1296978B-2920-4343-9819-C256B2E2CDF8}"/>
    <cellStyle name="Nota 2 2 4 9 2" xfId="3940" xr:uid="{19AD22E2-A401-49C7-8CD7-FFD2B14CB308}"/>
    <cellStyle name="Nota 2 2 4 9 3" xfId="6001" xr:uid="{B66CC8B0-6413-4713-A273-B5A181A2B747}"/>
    <cellStyle name="Nota 2 2 4 9 4" xfId="7725" xr:uid="{1A9D5EA2-F357-4247-A048-BB01E2FB1728}"/>
    <cellStyle name="Nota 2 2 5" xfId="102" xr:uid="{16B1E9C1-0673-49B8-83DF-9B9BA05BFE56}"/>
    <cellStyle name="Nota 2 2 5 10" xfId="2231" xr:uid="{8D9D93A8-7758-495E-8F26-3FF545D2DB45}"/>
    <cellStyle name="Nota 2 2 5 10 2" xfId="4545" xr:uid="{0C79DAFF-3623-4CFC-9EB9-7E5DD0B1FAEB}"/>
    <cellStyle name="Nota 2 2 5 10 3" xfId="6567" xr:uid="{F8FCC4D3-DB90-4C63-9B76-AA3F038D99B4}"/>
    <cellStyle name="Nota 2 2 5 10 4" xfId="8099" xr:uid="{2A276F73-0947-43D3-A27C-50047162E401}"/>
    <cellStyle name="Nota 2 2 5 11" xfId="2695" xr:uid="{30273E33-AB41-4D3A-BEF6-8EA17C386EB3}"/>
    <cellStyle name="Nota 2 2 5 11 2" xfId="5009" xr:uid="{F396BB16-255C-46B9-A58B-49A228FB388B}"/>
    <cellStyle name="Nota 2 2 5 11 3" xfId="7003" xr:uid="{46B73E34-14EC-4E93-B1B3-00C9289BF35D}"/>
    <cellStyle name="Nota 2 2 5 11 4" xfId="8394" xr:uid="{0CD6915A-043B-46C2-A3C1-161A004D12BA}"/>
    <cellStyle name="Nota 2 2 5 12" xfId="852" xr:uid="{6DB444D6-E0B0-472A-A505-56D91AA6E3ED}"/>
    <cellStyle name="Nota 2 2 5 13" xfId="3241" xr:uid="{B99450B7-FA7C-44AE-AE62-B369EADAAD01}"/>
    <cellStyle name="Nota 2 2 5 14" xfId="5909" xr:uid="{05DC3E2F-C216-4766-984D-B1744DECA96D}"/>
    <cellStyle name="Nota 2 2 5 2" xfId="174" xr:uid="{B9F7EC55-A950-41CD-9DA3-D2B8AA4A597A}"/>
    <cellStyle name="Nota 2 2 5 2 2" xfId="311" xr:uid="{B3FCC4B8-AF92-48AE-BE30-269046BC293F}"/>
    <cellStyle name="Nota 2 2 5 2 2 10" xfId="5622" xr:uid="{24ECB0D9-0DFC-4170-A113-3F52559331C3}"/>
    <cellStyle name="Nota 2 2 5 2 2 11" xfId="5545" xr:uid="{1CC59949-4348-43D4-9171-4788F83E4162}"/>
    <cellStyle name="Nota 2 2 5 2 2 2" xfId="671" xr:uid="{89C3CDB4-33DB-45BE-BA6F-DEFB3D671064}"/>
    <cellStyle name="Nota 2 2 5 2 2 2 2" xfId="2129" xr:uid="{4D7F71CA-AA3B-4A6A-BAE1-8481FCD72FD6}"/>
    <cellStyle name="Nota 2 2 5 2 2 2 2 2" xfId="4443" xr:uid="{A566C536-2E75-4DDC-BF7C-46E9F0B47D9D}"/>
    <cellStyle name="Nota 2 2 5 2 2 2 2 3" xfId="6470" xr:uid="{A1043DC5-3857-487E-B81E-8B0A7A14D451}"/>
    <cellStyle name="Nota 2 2 5 2 2 2 2 4" xfId="8037" xr:uid="{4D9ADE77-BCC8-4E67-9B65-12B5E5473350}"/>
    <cellStyle name="Nota 2 2 5 2 2 2 3" xfId="2581" xr:uid="{2EC5D1D4-EE0A-4346-B874-76B3A5EC9FAA}"/>
    <cellStyle name="Nota 2 2 5 2 2 2 3 2" xfId="4895" xr:uid="{4FD448EF-C9B0-4B8F-8B61-DCB352BAF533}"/>
    <cellStyle name="Nota 2 2 5 2 2 2 3 3" xfId="6893" xr:uid="{2C21260B-7FAC-4A1F-9E3D-1A0D4A80319E}"/>
    <cellStyle name="Nota 2 2 5 2 2 2 3 4" xfId="8317" xr:uid="{6CE7817F-4261-4FE0-B87E-F43949CB4AE0}"/>
    <cellStyle name="Nota 2 2 5 2 2 2 4" xfId="2965" xr:uid="{290A2006-DC72-48E3-AD39-AD49F3FE844A}"/>
    <cellStyle name="Nota 2 2 5 2 2 2 4 2" xfId="5279" xr:uid="{FA7397B3-207D-4903-BC95-93F9DDDF10D0}"/>
    <cellStyle name="Nota 2 2 5 2 2 2 4 3" xfId="7273" xr:uid="{5F94A18B-1F08-498B-9A8A-2F192421201F}"/>
    <cellStyle name="Nota 2 2 5 2 2 2 4 4" xfId="8554" xr:uid="{687F5F9C-CD9E-41AA-8C5E-FD26DEC902C0}"/>
    <cellStyle name="Nota 2 2 5 2 2 2 5" xfId="3166" xr:uid="{8DF1D296-1BDC-4D49-9596-4721F7031105}"/>
    <cellStyle name="Nota 2 2 5 2 2 2 5 2" xfId="5480" xr:uid="{3580DE35-4678-4ECD-BF24-E6158734CFD7}"/>
    <cellStyle name="Nota 2 2 5 2 2 2 5 3" xfId="7474" xr:uid="{F86AA089-22D7-466A-ACAF-39A777A01FD8}"/>
    <cellStyle name="Nota 2 2 5 2 2 2 5 4" xfId="8718" xr:uid="{1D3D1236-7E2F-4269-B016-DED479F7047B}"/>
    <cellStyle name="Nota 2 2 5 2 2 2 6" xfId="1519" xr:uid="{07B679F9-FE7A-4B47-A2EC-00822781E6E3}"/>
    <cellStyle name="Nota 2 2 5 2 2 2 7" xfId="3835" xr:uid="{F7B6130E-8816-4DF3-8B7E-C73CF4EB75F6}"/>
    <cellStyle name="Nota 2 2 5 2 2 2 8" xfId="5908" xr:uid="{C0460211-D6DF-4A86-A423-7055B1E04EEF}"/>
    <cellStyle name="Nota 2 2 5 2 2 2 9" xfId="7666" xr:uid="{1F3521B0-BD81-4A39-8AAB-5F5FD0FFF0AD}"/>
    <cellStyle name="Nota 2 2 5 2 2 3" xfId="743" xr:uid="{7C5C76D5-85BB-4A46-B7E5-D55FAB704AAC}"/>
    <cellStyle name="Nota 2 2 5 2 2 3 2" xfId="2201" xr:uid="{2416C01A-4BF3-4B3E-8653-E3C976343B72}"/>
    <cellStyle name="Nota 2 2 5 2 2 3 2 2" xfId="4515" xr:uid="{5A40E61E-014C-48C5-8DB0-088B983907CD}"/>
    <cellStyle name="Nota 2 2 5 2 2 3 2 3" xfId="6537" xr:uid="{7D6DF35D-0549-4A27-B171-B57AD07C8B72}"/>
    <cellStyle name="Nota 2 2 5 2 2 3 2 4" xfId="8081" xr:uid="{B235139A-57ED-487F-898B-26FD510999D9}"/>
    <cellStyle name="Nota 2 2 5 2 2 3 3" xfId="2653" xr:uid="{8845C773-D3C6-488E-BEFB-261EE07EAADB}"/>
    <cellStyle name="Nota 2 2 5 2 2 3 3 2" xfId="4967" xr:uid="{F693F79A-1DD9-481F-8FBF-51C274D8F532}"/>
    <cellStyle name="Nota 2 2 5 2 2 3 3 3" xfId="6961" xr:uid="{72F32F45-4ED4-4D7D-8A47-F23464665B3E}"/>
    <cellStyle name="Nota 2 2 5 2 2 3 3 4" xfId="8361" xr:uid="{84523AFD-821A-4812-9D40-A3B8FBA90B3F}"/>
    <cellStyle name="Nota 2 2 5 2 2 3 4" xfId="3028" xr:uid="{57634E33-4A18-4D69-960C-DD0A6D4E1F06}"/>
    <cellStyle name="Nota 2 2 5 2 2 3 4 2" xfId="5342" xr:uid="{96E003BA-06F4-450E-8680-1137A68662C0}"/>
    <cellStyle name="Nota 2 2 5 2 2 3 4 3" xfId="7336" xr:uid="{EB9AA4E9-04F2-467F-B33C-F90B2AAEDCC9}"/>
    <cellStyle name="Nota 2 2 5 2 2 3 4 4" xfId="8589" xr:uid="{29589EF3-C39A-4E8F-B5F8-6AC102770212}"/>
    <cellStyle name="Nota 2 2 5 2 2 3 5" xfId="3201" xr:uid="{76574658-8C5A-49A8-B987-4B4DBDDA68D6}"/>
    <cellStyle name="Nota 2 2 5 2 2 3 5 2" xfId="5515" xr:uid="{81772536-CC5B-4DC9-84A1-7D71F3D89111}"/>
    <cellStyle name="Nota 2 2 5 2 2 3 5 3" xfId="7509" xr:uid="{A143583C-AAEC-4705-9C13-99F3F817FDB0}"/>
    <cellStyle name="Nota 2 2 5 2 2 3 5 4" xfId="8753" xr:uid="{695BBB61-B7B2-4BE4-A98B-A8F70EA78E64}"/>
    <cellStyle name="Nota 2 2 5 2 2 3 6" xfId="1591" xr:uid="{368B8306-EC6A-486C-B410-E6DA736BA826}"/>
    <cellStyle name="Nota 2 2 5 2 2 3 7" xfId="3907" xr:uid="{1AD76F59-D1A3-4C55-AE69-40794D278351}"/>
    <cellStyle name="Nota 2 2 5 2 2 3 8" xfId="5974" xr:uid="{0EB450E1-AD29-4391-BE42-A2F84571C879}"/>
    <cellStyle name="Nota 2 2 5 2 2 3 9" xfId="7710" xr:uid="{65028A24-AE25-4F0E-9062-4F1125892A3D}"/>
    <cellStyle name="Nota 2 2 5 2 2 4" xfId="1802" xr:uid="{02053864-EF36-46F0-B4E8-CC9ED577649D}"/>
    <cellStyle name="Nota 2 2 5 2 2 4 2" xfId="4116" xr:uid="{BF654D88-86B2-466C-930C-A6182000E403}"/>
    <cellStyle name="Nota 2 2 5 2 2 4 3" xfId="6165" xr:uid="{158EF4C1-AC19-490E-BCCA-C329DE11F0B9}"/>
    <cellStyle name="Nota 2 2 5 2 2 4 4" xfId="7834" xr:uid="{E62B4FCF-325F-4E4A-8CF0-6059F495399F}"/>
    <cellStyle name="Nota 2 2 5 2 2 5" xfId="2258" xr:uid="{5CFB87F1-51D2-4673-8D30-BACF3FDC9A8C}"/>
    <cellStyle name="Nota 2 2 5 2 2 5 2" xfId="4572" xr:uid="{298F0E55-71B4-4C99-8606-348A0280B547}"/>
    <cellStyle name="Nota 2 2 5 2 2 5 3" xfId="6594" xr:uid="{93A0FCF8-08D6-41AA-AC3C-A773BD992863}"/>
    <cellStyle name="Nota 2 2 5 2 2 5 4" xfId="8116" xr:uid="{B1E8A409-A9C4-40CD-98D6-DC9C5E3C14C6}"/>
    <cellStyle name="Nota 2 2 5 2 2 6" xfId="2696" xr:uid="{321F1DF4-787F-499C-A859-076E295910C0}"/>
    <cellStyle name="Nota 2 2 5 2 2 6 2" xfId="5010" xr:uid="{2FDAD393-364B-4DDF-8022-4D24059814EE}"/>
    <cellStyle name="Nota 2 2 5 2 2 6 3" xfId="7004" xr:uid="{70DD40D2-F6B8-4315-B700-8EFFED5451C0}"/>
    <cellStyle name="Nota 2 2 5 2 2 6 4" xfId="8395" xr:uid="{AE767D48-49F8-4019-B137-214A1C03FCAC}"/>
    <cellStyle name="Nota 2 2 5 2 2 7" xfId="2781" xr:uid="{B7AD79F6-3FCD-4BFA-96E2-5D3A97DC16C4}"/>
    <cellStyle name="Nota 2 2 5 2 2 7 2" xfId="5095" xr:uid="{246AA3AC-E85F-43CA-A48B-CA882CF596B2}"/>
    <cellStyle name="Nota 2 2 5 2 2 7 3" xfId="7089" xr:uid="{73773428-F997-450A-9861-FD1B7A25D905}"/>
    <cellStyle name="Nota 2 2 5 2 2 7 4" xfId="8445" xr:uid="{AC1AD99C-23ED-4E6A-B63C-88DF79E5ECA1}"/>
    <cellStyle name="Nota 2 2 5 2 2 8" xfId="1159" xr:uid="{F2D8C963-B9BE-4832-B3BA-A5074168DF99}"/>
    <cellStyle name="Nota 2 2 5 2 2 9" xfId="3502" xr:uid="{7BE433E4-D1D6-475B-9F18-58E078E510A6}"/>
    <cellStyle name="Nota 2 2 5 2 3" xfId="485" xr:uid="{17F790AB-D092-4035-855B-739651F3958E}"/>
    <cellStyle name="Nota 2 2 5 2 3 2" xfId="1949" xr:uid="{509B3DB7-16D9-4DF0-8A90-53B68A0C0E1B}"/>
    <cellStyle name="Nota 2 2 5 2 3 2 2" xfId="4263" xr:uid="{8DD53606-06DD-443B-8218-358B2FF0F4E2}"/>
    <cellStyle name="Nota 2 2 5 2 3 2 3" xfId="6306" xr:uid="{EA2CC8A4-05BB-473A-BD66-CA59DF8F105F}"/>
    <cellStyle name="Nota 2 2 5 2 3 2 4" xfId="7923" xr:uid="{45603B69-B2E4-46CB-8FA4-8CD76D6AF46F}"/>
    <cellStyle name="Nota 2 2 5 2 3 3" xfId="2402" xr:uid="{CFFCD58C-37AB-4B06-A293-4738257FFE9F}"/>
    <cellStyle name="Nota 2 2 5 2 3 3 2" xfId="4716" xr:uid="{5D4DF172-09C4-459F-8AA2-1B9915A3F457}"/>
    <cellStyle name="Nota 2 2 5 2 3 3 3" xfId="6729" xr:uid="{3AABE507-8E69-4701-9DE2-C523587416A6}"/>
    <cellStyle name="Nota 2 2 5 2 3 3 4" xfId="8204" xr:uid="{7F518FD1-2FEC-4738-AFA0-3140CE607B0C}"/>
    <cellStyle name="Nota 2 2 5 2 3 4" xfId="2810" xr:uid="{19E2FD8B-500D-4DA9-ACAE-98C834306B63}"/>
    <cellStyle name="Nota 2 2 5 2 3 4 2" xfId="5124" xr:uid="{F9C9C95F-A89C-4C90-9895-013FD2B5BF6F}"/>
    <cellStyle name="Nota 2 2 5 2 3 4 3" xfId="7118" xr:uid="{FD1915CB-B8A9-4EE5-B353-600C17D6EFD7}"/>
    <cellStyle name="Nota 2 2 5 2 3 4 4" xfId="8465" xr:uid="{C2BF880D-C539-4943-898A-DB117BFAF57A}"/>
    <cellStyle name="Nota 2 2 5 2 3 5" xfId="3082" xr:uid="{43FFBC6E-787F-4A6E-8C07-3A8DA58F8E34}"/>
    <cellStyle name="Nota 2 2 5 2 3 5 2" xfId="5396" xr:uid="{80C43B86-8A25-4186-8FD4-30C26461775D}"/>
    <cellStyle name="Nota 2 2 5 2 3 5 3" xfId="7390" xr:uid="{0A55C69A-9A91-4D81-B2DE-177AE16ACB8E}"/>
    <cellStyle name="Nota 2 2 5 2 3 5 4" xfId="8634" xr:uid="{1BCBAD1B-7D20-4B91-9977-17292C6709B3}"/>
    <cellStyle name="Nota 2 2 5 2 3 6" xfId="1333" xr:uid="{0A9EC8A9-33EC-475D-81A5-874D4707A5D2}"/>
    <cellStyle name="Nota 2 2 5 2 3 7" xfId="3653" xr:uid="{00E96BCB-D9D6-4690-B395-78F62A480487}"/>
    <cellStyle name="Nota 2 2 5 2 3 8" xfId="5746" xr:uid="{4F00E54D-A33D-4C5C-8EA1-CCA529E843D2}"/>
    <cellStyle name="Nota 2 2 5 2 3 9" xfId="7554" xr:uid="{3184E41A-1405-43F5-BD8D-8797361D3B03}"/>
    <cellStyle name="Nota 2 2 5 2 4" xfId="2363" xr:uid="{3744E9DB-DEA3-4560-A507-7C91EFDE39DE}"/>
    <cellStyle name="Nota 2 2 5 2 4 2" xfId="4677" xr:uid="{F1C40D20-FEFF-4967-9FA6-C01DFC309E1B}"/>
    <cellStyle name="Nota 2 2 5 2 4 3" xfId="6690" xr:uid="{C89E9D64-5B59-4040-8FB1-3646AA799644}"/>
    <cellStyle name="Nota 2 2 5 2 4 4" xfId="8178" xr:uid="{3D96C99E-6E22-417E-8106-34F5E77A91D2}"/>
    <cellStyle name="Nota 2 2 5 2 5" xfId="1022" xr:uid="{913ACAA2-E541-4C6B-957E-8F00632A74A8}"/>
    <cellStyle name="Nota 2 2 5 2 6" xfId="3388" xr:uid="{E34B152D-C166-4BAF-8D1F-CF2487EC999E}"/>
    <cellStyle name="Nota 2 2 5 2 7" xfId="5528" xr:uid="{6E9D835B-EF88-4E1A-95FD-315E842D57A5}"/>
    <cellStyle name="Nota 2 2 5 2 8" xfId="3223" xr:uid="{FF62A255-2F00-4474-BCF2-1B047F4C5B34}"/>
    <cellStyle name="Nota 2 2 5 3" xfId="242" xr:uid="{42F79509-CCAB-48E3-AB1B-EF9BF8CA07B9}"/>
    <cellStyle name="Nota 2 2 5 3 10" xfId="3445" xr:uid="{D5C91470-A822-4D51-8772-E3D4CB75E48B}"/>
    <cellStyle name="Nota 2 2 5 3 11" xfId="5571" xr:uid="{74E9DA67-48E6-408F-B82D-412F50AE3EE0}"/>
    <cellStyle name="Nota 2 2 5 3 12" xfId="5541" xr:uid="{FC15B9CB-5DD6-4858-83D7-B75123267509}"/>
    <cellStyle name="Nota 2 2 5 3 2" xfId="626" xr:uid="{51B2F126-3BED-4F95-90A4-3F4870EBA383}"/>
    <cellStyle name="Nota 2 2 5 3 2 2" xfId="2084" xr:uid="{0A6A1AFF-17B6-422D-94F6-F4A179910DA7}"/>
    <cellStyle name="Nota 2 2 5 3 2 2 2" xfId="4398" xr:uid="{4D6F1424-6165-43BB-87D1-F637DC1AC6B9}"/>
    <cellStyle name="Nota 2 2 5 3 2 2 3" xfId="6438" xr:uid="{6C5C380D-7FF3-4992-B31D-37A804D026C8}"/>
    <cellStyle name="Nota 2 2 5 3 2 2 4" xfId="7995" xr:uid="{550178D8-011B-4C70-9F84-2E4941FB5126}"/>
    <cellStyle name="Nota 2 2 5 3 2 3" xfId="2536" xr:uid="{30AF42D6-DBBB-48EA-A792-3B88BF56D089}"/>
    <cellStyle name="Nota 2 2 5 3 2 3 2" xfId="4850" xr:uid="{7C1A4090-7902-4B8B-BCBC-5A39349B47B5}"/>
    <cellStyle name="Nota 2 2 5 3 2 3 3" xfId="6858" xr:uid="{318C443E-82E8-447D-ACCD-3AB5ADD7282B}"/>
    <cellStyle name="Nota 2 2 5 3 2 3 4" xfId="8275" xr:uid="{4BA11733-5891-40C7-BB01-00026C9FC92F}"/>
    <cellStyle name="Nota 2 2 5 3 2 4" xfId="2936" xr:uid="{9CD6D319-B514-407B-B346-9B5AB3100066}"/>
    <cellStyle name="Nota 2 2 5 3 2 4 2" xfId="5250" xr:uid="{88A301BF-72C6-4C56-9AB6-C327BA8015CA}"/>
    <cellStyle name="Nota 2 2 5 3 2 4 3" xfId="7244" xr:uid="{9B1635E6-914A-49E4-8243-705E8EC24CE6}"/>
    <cellStyle name="Nota 2 2 5 3 2 4 4" xfId="8528" xr:uid="{87FC3EF9-AA21-4055-BE31-1BC0562CB77C}"/>
    <cellStyle name="Nota 2 2 5 3 2 5" xfId="3142" xr:uid="{371305D2-5CCF-4194-B135-C1CCB7564DE8}"/>
    <cellStyle name="Nota 2 2 5 3 2 5 2" xfId="5456" xr:uid="{DBEFB49D-3CE7-4C8E-B9B1-74AC6B8B61CF}"/>
    <cellStyle name="Nota 2 2 5 3 2 5 3" xfId="7450" xr:uid="{998B2E8B-D084-4EAE-AA20-ED58AB9B0A9D}"/>
    <cellStyle name="Nota 2 2 5 3 2 5 4" xfId="8694" xr:uid="{92A2FF55-B1B1-413F-907A-0A28E9B9C5A6}"/>
    <cellStyle name="Nota 2 2 5 3 2 6" xfId="1474" xr:uid="{F4A47847-6241-4C76-AF75-3EC797AB5FA0}"/>
    <cellStyle name="Nota 2 2 5 3 2 7" xfId="3790" xr:uid="{7CB103BD-A342-4953-ADF6-F3CEC1A0A321}"/>
    <cellStyle name="Nota 2 2 5 3 2 8" xfId="5876" xr:uid="{44D94B69-3C20-4A36-A2DB-9981CEAA9C36}"/>
    <cellStyle name="Nota 2 2 5 3 2 9" xfId="7624" xr:uid="{E513ED07-7D90-4F04-AB8A-E0AC934D40B6}"/>
    <cellStyle name="Nota 2 2 5 3 3" xfId="701" xr:uid="{D374DFD1-FE57-4A3C-A8E7-C562F3BAF129}"/>
    <cellStyle name="Nota 2 2 5 3 3 2" xfId="2159" xr:uid="{55847B09-EB84-441C-BBB1-918F92812019}"/>
    <cellStyle name="Nota 2 2 5 3 3 2 2" xfId="4473" xr:uid="{810E6CD0-DD57-44BB-8EF7-F4AFFFFAFF67}"/>
    <cellStyle name="Nota 2 2 5 3 3 2 3" xfId="6495" xr:uid="{4D2AF7EE-45BE-4E6A-A5B0-30C3C9967908}"/>
    <cellStyle name="Nota 2 2 5 3 3 2 4" xfId="8060" xr:uid="{944F39A2-EB6A-4979-AED3-04ACCFFCB39B}"/>
    <cellStyle name="Nota 2 2 5 3 3 3" xfId="2611" xr:uid="{9D0C7A8C-0163-41C3-B73F-7FD7A67237AF}"/>
    <cellStyle name="Nota 2 2 5 3 3 3 2" xfId="4925" xr:uid="{20B7BE9F-CE0C-476F-BED3-C2DE22587F47}"/>
    <cellStyle name="Nota 2 2 5 3 3 3 3" xfId="6919" xr:uid="{9B719470-11BA-4D80-B5CE-B6B949B3BCC6}"/>
    <cellStyle name="Nota 2 2 5 3 3 3 4" xfId="8340" xr:uid="{E6270450-B3E3-4614-B7D0-39579FD2C4B5}"/>
    <cellStyle name="Nota 2 2 5 3 3 4" xfId="2986" xr:uid="{4938CF70-13C3-4A74-A209-85D4F7A6FB6F}"/>
    <cellStyle name="Nota 2 2 5 3 3 4 2" xfId="5300" xr:uid="{A43075BB-F3A8-4C83-A33C-8CD9C7B010E8}"/>
    <cellStyle name="Nota 2 2 5 3 3 4 3" xfId="7294" xr:uid="{1B0EEA22-D1BF-4105-ACB0-E025118CA019}"/>
    <cellStyle name="Nota 2 2 5 3 3 4 4" xfId="8568" xr:uid="{1048DA40-4F4F-40CB-B50B-DD7C4329D653}"/>
    <cellStyle name="Nota 2 2 5 3 3 5" xfId="3180" xr:uid="{F41D544E-884B-4133-8FCD-72CED2027FD5}"/>
    <cellStyle name="Nota 2 2 5 3 3 5 2" xfId="5494" xr:uid="{DBEF10AF-70B1-4AC2-819F-AEB4C00BFEAE}"/>
    <cellStyle name="Nota 2 2 5 3 3 5 3" xfId="7488" xr:uid="{674342DB-6DB8-454E-848B-1B3AB5063E8B}"/>
    <cellStyle name="Nota 2 2 5 3 3 5 4" xfId="8732" xr:uid="{5FA8F38B-1352-460F-BDFC-01C3E8E79C53}"/>
    <cellStyle name="Nota 2 2 5 3 3 6" xfId="1549" xr:uid="{02A54884-79EA-4A51-8AAE-A32128491E1B}"/>
    <cellStyle name="Nota 2 2 5 3 3 7" xfId="3865" xr:uid="{BA564190-71A8-4E9B-A4AF-5323568867EB}"/>
    <cellStyle name="Nota 2 2 5 3 3 8" xfId="5932" xr:uid="{9F4838E8-16F7-4B4B-B736-8BFFED1CBACA}"/>
    <cellStyle name="Nota 2 2 5 3 3 9" xfId="7689" xr:uid="{C3917F6A-CFD9-4223-9347-AB2C16004975}"/>
    <cellStyle name="Nota 2 2 5 3 4" xfId="517" xr:uid="{CB8A8136-B2F9-4C9B-9AB0-997EB42777AE}"/>
    <cellStyle name="Nota 2 2 5 3 4 2" xfId="1976" xr:uid="{CC2F0756-D8B1-4584-9856-6E735E37EFF2}"/>
    <cellStyle name="Nota 2 2 5 3 4 2 2" xfId="4290" xr:uid="{711D4DB7-346D-49DD-AEEA-984745C7858F}"/>
    <cellStyle name="Nota 2 2 5 3 4 2 3" xfId="6331" xr:uid="{38F0B2F1-7F79-4987-8E6F-29818E44F632}"/>
    <cellStyle name="Nota 2 2 5 3 4 2 4" xfId="7941" xr:uid="{9AA2F2A5-582C-4410-AD8C-1A82F5DB9B43}"/>
    <cellStyle name="Nota 2 2 5 3 4 3" xfId="2427" xr:uid="{D1A26A6D-C34B-4E5E-B7B6-8FA335C705F6}"/>
    <cellStyle name="Nota 2 2 5 3 4 3 2" xfId="4741" xr:uid="{B1A3F7A3-0D0B-415E-B927-5782B1391EED}"/>
    <cellStyle name="Nota 2 2 5 3 4 3 3" xfId="6751" xr:uid="{E400EE5D-9F51-45F6-86E5-87E62BFFB196}"/>
    <cellStyle name="Nota 2 2 5 3 4 3 4" xfId="8220" xr:uid="{58760633-C6DC-4E02-A155-ED2AF1EC6CC3}"/>
    <cellStyle name="Nota 2 2 5 3 4 4" xfId="2832" xr:uid="{674B7B1A-6BDB-44A3-BD88-2F3D89D5FD90}"/>
    <cellStyle name="Nota 2 2 5 3 4 4 2" xfId="5146" xr:uid="{C3C8E487-19CD-496D-A508-1E2758608507}"/>
    <cellStyle name="Nota 2 2 5 3 4 4 3" xfId="7140" xr:uid="{AF40CF1D-5730-4C01-89AC-4112BEE17A1C}"/>
    <cellStyle name="Nota 2 2 5 3 4 4 4" xfId="8478" xr:uid="{637E6BE1-FD34-489F-9310-3B42B393C03C}"/>
    <cellStyle name="Nota 2 2 5 3 4 5" xfId="3093" xr:uid="{F80B27F5-C7B7-4345-B8FD-6191A56CBBA6}"/>
    <cellStyle name="Nota 2 2 5 3 4 5 2" xfId="5407" xr:uid="{EBF661FC-0F73-4B8E-A1AD-6290D00081D0}"/>
    <cellStyle name="Nota 2 2 5 3 4 5 3" xfId="7401" xr:uid="{DC945BEE-E22D-48B3-9FBF-ED499D7CFA20}"/>
    <cellStyle name="Nota 2 2 5 3 4 5 4" xfId="8645" xr:uid="{CDB41D8F-B469-4D30-8C20-C423ADB07140}"/>
    <cellStyle name="Nota 2 2 5 3 4 6" xfId="1365" xr:uid="{9B51C86C-A1D7-474D-BA26-A7562843FDB5}"/>
    <cellStyle name="Nota 2 2 5 3 4 7" xfId="3681" xr:uid="{B848A03D-AAEB-426C-850A-3989C2508929}"/>
    <cellStyle name="Nota 2 2 5 3 4 8" xfId="5771" xr:uid="{0B75A3A7-A355-46EA-9DC6-D5A4C2743E06}"/>
    <cellStyle name="Nota 2 2 5 3 4 9" xfId="7570" xr:uid="{C6DC93F8-97D6-412F-BD7C-2D3E939D9CA5}"/>
    <cellStyle name="Nota 2 2 5 3 5" xfId="1742" xr:uid="{5F1AE732-16F1-40B0-80F2-CF6813B8AC70}"/>
    <cellStyle name="Nota 2 2 5 3 5 2" xfId="4056" xr:uid="{B46A5FFF-DE02-48CE-8830-8649DFB57A01}"/>
    <cellStyle name="Nota 2 2 5 3 5 3" xfId="6108" xr:uid="{89D4C2E0-C9D3-4EAB-9456-5701A45E113A}"/>
    <cellStyle name="Nota 2 2 5 3 5 4" xfId="7798" xr:uid="{ADC7C809-C604-4F86-8D30-71E05505A927}"/>
    <cellStyle name="Nota 2 2 5 3 6" xfId="2222" xr:uid="{6223FDD5-4567-4D13-A7CB-79A841C10564}"/>
    <cellStyle name="Nota 2 2 5 3 6 2" xfId="4536" xr:uid="{D0AF5D8E-6572-4669-9378-EBB5C3ACD315}"/>
    <cellStyle name="Nota 2 2 5 3 6 3" xfId="6558" xr:uid="{3120F9B8-BEB2-4A4F-BDCD-289E7322E45D}"/>
    <cellStyle name="Nota 2 2 5 3 6 4" xfId="8092" xr:uid="{28CA6DDF-A508-4CC5-8D20-C682D7A52B4B}"/>
    <cellStyle name="Nota 2 2 5 3 7" xfId="2253" xr:uid="{128527FE-757F-4F5A-8BA3-CDB12FD84699}"/>
    <cellStyle name="Nota 2 2 5 3 7 2" xfId="4567" xr:uid="{5F433410-BFC0-4A2D-A166-CE5CDFD81614}"/>
    <cellStyle name="Nota 2 2 5 3 7 3" xfId="6589" xr:uid="{D7004318-59D2-458C-A157-F0F10394D11D}"/>
    <cellStyle name="Nota 2 2 5 3 7 4" xfId="8113" xr:uid="{08C493AC-A23F-4078-8A5E-F38E9D5398C8}"/>
    <cellStyle name="Nota 2 2 5 3 8" xfId="900" xr:uid="{7D41E5DE-018D-4ABC-9F7D-670A4E27558F}"/>
    <cellStyle name="Nota 2 2 5 3 8 2" xfId="3283" xr:uid="{E6E6F37B-3EA9-4879-88FD-56799DDECB70}"/>
    <cellStyle name="Nota 2 2 5 3 8 3" xfId="3231" xr:uid="{ECD0D4A3-2A50-40CB-890E-52A6764B9604}"/>
    <cellStyle name="Nota 2 2 5 3 8 4" xfId="6743" xr:uid="{3602647A-0467-4521-8F48-EA18FB42446F}"/>
    <cellStyle name="Nota 2 2 5 3 9" xfId="1090" xr:uid="{E85AE0CD-E91A-4EA7-A672-AF153813A529}"/>
    <cellStyle name="Nota 2 2 5 4" xfId="414" xr:uid="{0BDFD0F6-74E2-4209-B1D3-B84F64AFA21A}"/>
    <cellStyle name="Nota 2 2 5 4 2" xfId="1891" xr:uid="{A4B71158-3554-4E28-8BAD-049C2E499E32}"/>
    <cellStyle name="Nota 2 2 5 4 2 2" xfId="4205" xr:uid="{EE4ED512-1F81-41E1-AC8C-16F6D63850A3}"/>
    <cellStyle name="Nota 2 2 5 4 2 3" xfId="6251" xr:uid="{86959915-BF49-4B6C-AA7F-170A9F44FC40}"/>
    <cellStyle name="Nota 2 2 5 4 2 4" xfId="7884" xr:uid="{E8E555BB-6D70-4343-9A10-B0844A59951E}"/>
    <cellStyle name="Nota 2 2 5 4 3" xfId="2347" xr:uid="{F534F726-9617-4202-8222-506EA2872080}"/>
    <cellStyle name="Nota 2 2 5 4 3 2" xfId="4661" xr:uid="{060731A3-29DC-41C0-B92E-878368E3C62E}"/>
    <cellStyle name="Nota 2 2 5 4 3 3" xfId="6676" xr:uid="{C6DFC929-E996-46E0-B3CA-68A135D04BEF}"/>
    <cellStyle name="Nota 2 2 5 4 3 4" xfId="8165" xr:uid="{1EDB1707-9C18-4402-8920-FDE12BBD2C54}"/>
    <cellStyle name="Nota 2 2 5 4 4" xfId="2762" xr:uid="{DAA62697-C167-4038-A3CF-BBA6BC87A628}"/>
    <cellStyle name="Nota 2 2 5 4 4 2" xfId="5076" xr:uid="{D921D084-6DCC-48BA-9906-0B5298DD5975}"/>
    <cellStyle name="Nota 2 2 5 4 4 3" xfId="7070" xr:uid="{764A36E0-4F30-4916-AB67-540D0BD0EDD4}"/>
    <cellStyle name="Nota 2 2 5 4 4 4" xfId="8433" xr:uid="{BF60B66F-2F9B-4131-A257-CE7EF969B933}"/>
    <cellStyle name="Nota 2 2 5 4 5" xfId="3059" xr:uid="{3E331976-8B01-4257-BDF1-1DA1BB4A102C}"/>
    <cellStyle name="Nota 2 2 5 4 5 2" xfId="5373" xr:uid="{D90DB751-87DB-49CD-9ED1-EA19F49D92DD}"/>
    <cellStyle name="Nota 2 2 5 4 5 3" xfId="7367" xr:uid="{BC61C904-6D13-4F4F-A2EF-2CBD9A7D3F9F}"/>
    <cellStyle name="Nota 2 2 5 4 5 4" xfId="8611" xr:uid="{84FEB7F6-7F05-42A9-ABA4-DAE29B1D926B}"/>
    <cellStyle name="Nota 2 2 5 4 6" xfId="1262" xr:uid="{EAFE1B4F-AD23-48A1-8A69-FEC378A38FB1}"/>
    <cellStyle name="Nota 2 2 5 4 7" xfId="3590" xr:uid="{CA64A2C0-4D11-45BD-A9ED-A92D8C575ED4}"/>
    <cellStyle name="Nota 2 2 5 4 8" xfId="5697" xr:uid="{AC55CD0F-E1D2-4FDD-94E5-C181D1657202}"/>
    <cellStyle name="Nota 2 2 5 4 9" xfId="7526" xr:uid="{D1F43738-6E1A-4E82-AC6E-096543B2FE90}"/>
    <cellStyle name="Nota 2 2 5 5" xfId="560" xr:uid="{5398788C-C2ED-4928-93FB-BFD394664455}"/>
    <cellStyle name="Nota 2 2 5 5 2" xfId="2018" xr:uid="{0DDA828A-33C1-4873-8D36-0D417A902562}"/>
    <cellStyle name="Nota 2 2 5 5 2 2" xfId="4332" xr:uid="{41AB2EEA-F622-4C9E-BB18-800EBC43EF1E}"/>
    <cellStyle name="Nota 2 2 5 5 2 3" xfId="6373" xr:uid="{2FC7B8F0-B045-4F5F-B403-40E9940EC37E}"/>
    <cellStyle name="Nota 2 2 5 5 2 4" xfId="7952" xr:uid="{D7B9F828-74F5-459B-AD8A-81E4EA24D00C}"/>
    <cellStyle name="Nota 2 2 5 5 3" xfId="2470" xr:uid="{4A6071C9-D42F-43F1-B17B-DAC78B2CDCF0}"/>
    <cellStyle name="Nota 2 2 5 5 3 2" xfId="4784" xr:uid="{AC831B3F-397D-4539-92B7-3E924C9BB8C9}"/>
    <cellStyle name="Nota 2 2 5 5 3 3" xfId="6794" xr:uid="{1F2F1BC9-9CE4-4A1D-ABFC-252C24C08753}"/>
    <cellStyle name="Nota 2 2 5 5 3 4" xfId="8232" xr:uid="{F97585A1-35BB-45DB-A37D-2339DED13ADB}"/>
    <cellStyle name="Nota 2 2 5 5 4" xfId="2875" xr:uid="{9760C739-00A4-405A-BFC5-D74540CF1129}"/>
    <cellStyle name="Nota 2 2 5 5 4 2" xfId="5189" xr:uid="{45BEFEDF-2B0A-4DE5-AD71-832EBFC828CB}"/>
    <cellStyle name="Nota 2 2 5 5 4 3" xfId="7183" xr:uid="{18F0BFCB-4ACF-42F3-A5E6-670A48555759}"/>
    <cellStyle name="Nota 2 2 5 5 4 4" xfId="8490" xr:uid="{6C86BBAA-E1D8-433F-9A24-B698B5E7917C}"/>
    <cellStyle name="Nota 2 2 5 5 5" xfId="3104" xr:uid="{595F15FF-D733-4C4F-8359-506835094000}"/>
    <cellStyle name="Nota 2 2 5 5 5 2" xfId="5418" xr:uid="{6B015C18-F427-4ADC-A5DB-EBE7FA22B0F1}"/>
    <cellStyle name="Nota 2 2 5 5 5 3" xfId="7412" xr:uid="{258BCEE2-1F03-4F9F-BEAD-ADF53777837A}"/>
    <cellStyle name="Nota 2 2 5 5 5 4" xfId="8656" xr:uid="{88210BC1-FB12-45B3-8E10-3E04789A3AC9}"/>
    <cellStyle name="Nota 2 2 5 5 6" xfId="1408" xr:uid="{0E93E855-9654-4AB0-BD88-14BC19BAF9C7}"/>
    <cellStyle name="Nota 2 2 5 5 7" xfId="3724" xr:uid="{02D9A8D6-1B7A-4F9F-BC2F-F724662C5338}"/>
    <cellStyle name="Nota 2 2 5 5 8" xfId="5814" xr:uid="{AB0F30D8-24B8-4329-90A6-3F88B423E1A3}"/>
    <cellStyle name="Nota 2 2 5 5 9" xfId="7581" xr:uid="{7AB504F5-AA70-4A8C-81A8-D92D5C0460B2}"/>
    <cellStyle name="Nota 2 2 5 6" xfId="340" xr:uid="{C53C936B-11B2-4480-B5CC-16436F4074D7}"/>
    <cellStyle name="Nota 2 2 5 6 2" xfId="1827" xr:uid="{BF992C0E-C1F6-4FE3-93E1-FDD07C6348BE}"/>
    <cellStyle name="Nota 2 2 5 6 2 2" xfId="4141" xr:uid="{2EE51DBE-76F9-4F7C-83F2-7C1AA69D2996}"/>
    <cellStyle name="Nota 2 2 5 6 2 3" xfId="6190" xr:uid="{0F2D8458-1B32-490C-8138-5E3E1F5F4995}"/>
    <cellStyle name="Nota 2 2 5 6 2 4" xfId="7847" xr:uid="{9077AA6E-5EA2-4AE1-9242-04983890336B}"/>
    <cellStyle name="Nota 2 2 5 6 3" xfId="2282" xr:uid="{90F052D9-40E0-47F0-9E40-2D96ACA90AD1}"/>
    <cellStyle name="Nota 2 2 5 6 3 2" xfId="4596" xr:uid="{6BED8397-7F56-43EB-ABEB-1801ACE1C96F}"/>
    <cellStyle name="Nota 2 2 5 6 3 3" xfId="6618" xr:uid="{694DC6B0-561E-4C1D-92EE-F8114ECB8148}"/>
    <cellStyle name="Nota 2 2 5 6 3 4" xfId="8129" xr:uid="{4F71BD3A-895F-4EE4-B92E-77EA22CEC58E}"/>
    <cellStyle name="Nota 2 2 5 6 4" xfId="2712" xr:uid="{14FD0FAF-3D43-4585-ADEE-051A879FA51E}"/>
    <cellStyle name="Nota 2 2 5 6 4 2" xfId="5026" xr:uid="{4DDEE867-6370-43EC-B1A6-89693597EF0C}"/>
    <cellStyle name="Nota 2 2 5 6 4 3" xfId="7020" xr:uid="{C1EACE1B-8B3D-4067-BD88-2EA58E192DF5}"/>
    <cellStyle name="Nota 2 2 5 6 4 4" xfId="8409" xr:uid="{FB2B0F27-7283-4A6A-B90D-3648B85740F5}"/>
    <cellStyle name="Nota 2 2 5 6 5" xfId="2676" xr:uid="{D73CF108-3CEC-4053-9D0F-0A23E7B91707}"/>
    <cellStyle name="Nota 2 2 5 6 5 2" xfId="4990" xr:uid="{2EB7E73C-BDB0-4850-A894-1F9363C3EB69}"/>
    <cellStyle name="Nota 2 2 5 6 5 3" xfId="6984" xr:uid="{1568BA60-7EA7-43A7-AEA7-1255946AE9DD}"/>
    <cellStyle name="Nota 2 2 5 6 5 4" xfId="8375" xr:uid="{ED9E14F0-B604-4DD2-9EE9-58E873406696}"/>
    <cellStyle name="Nota 2 2 5 6 6" xfId="1188" xr:uid="{B277067E-2CD0-4F23-BD12-A03D98F09763}"/>
    <cellStyle name="Nota 2 2 5 6 7" xfId="3526" xr:uid="{CF017D12-210B-4579-A88E-13D71FACAD97}"/>
    <cellStyle name="Nota 2 2 5 6 8" xfId="5646" xr:uid="{7C9C062B-16F1-4519-994B-3094E517FCE5}"/>
    <cellStyle name="Nota 2 2 5 6 9" xfId="3423" xr:uid="{91C7110E-D240-4C19-BA3C-8E2D6AA033C4}"/>
    <cellStyle name="Nota 2 2 5 7" xfId="952" xr:uid="{AFFEF5B8-1775-4AA0-9587-6BD3D681A10F}"/>
    <cellStyle name="Nota 2 2 5 7 2" xfId="3331" xr:uid="{A5B1928E-0056-4ECE-A480-C76994E62440}"/>
    <cellStyle name="Nota 2 2 5 7 3" xfId="3926" xr:uid="{D5B212DC-16AE-4340-9F99-CC5FDF1B1F89}"/>
    <cellStyle name="Nota 2 2 5 7 4" xfId="5531" xr:uid="{75324158-B102-4DB0-92B6-FED19D218C80}"/>
    <cellStyle name="Nota 2 2 5 8" xfId="1642" xr:uid="{894B913C-FFAB-46A9-AAB7-D471738A564C}"/>
    <cellStyle name="Nota 2 2 5 8 2" xfId="3956" xr:uid="{F9506959-0994-4623-A5DC-BCE5C2264A79}"/>
    <cellStyle name="Nota 2 2 5 8 3" xfId="6016" xr:uid="{D062C6BE-7AC3-4643-9650-8F7D4B9E1BDA}"/>
    <cellStyle name="Nota 2 2 5 8 4" xfId="7736" xr:uid="{058E3E42-B1B3-43D4-8431-4E81A0C7AA34}"/>
    <cellStyle name="Nota 2 2 5 9" xfId="1798" xr:uid="{EC3C8B01-7696-4F85-9611-80B2D55E12DA}"/>
    <cellStyle name="Nota 2 2 5 9 2" xfId="4112" xr:uid="{CE53B29D-636A-4A95-8572-E9534682603B}"/>
    <cellStyle name="Nota 2 2 5 9 3" xfId="6161" xr:uid="{0170BB6E-E7AE-4A20-AE18-988DA98BAD38}"/>
    <cellStyle name="Nota 2 2 5 9 4" xfId="7832" xr:uid="{DD8392CC-BB9E-4E17-8F03-2561AFC70F12}"/>
    <cellStyle name="Nota 2 2 6" xfId="111" xr:uid="{D071ECC4-AFD6-4A18-A7E5-3D47000FACCE}"/>
    <cellStyle name="Nota 2 2 6 10" xfId="934" xr:uid="{8A2448B5-6A96-4A97-AFF3-58D2F687F75F}"/>
    <cellStyle name="Nota 2 2 6 10 2" xfId="3316" xr:uid="{EED7E0F1-D19E-4E19-81CA-18AD0DB0097C}"/>
    <cellStyle name="Nota 2 2 6 10 3" xfId="790" xr:uid="{CFF6DB83-07D9-4003-9518-4385BAB553D7}"/>
    <cellStyle name="Nota 2 2 6 10 4" xfId="5554" xr:uid="{3FB09865-533C-43D5-9D3D-1B460F1B1EFF}"/>
    <cellStyle name="Nota 2 2 6 11" xfId="2824" xr:uid="{0FA7E8C5-9792-4ACF-B0C3-91199F3D8383}"/>
    <cellStyle name="Nota 2 2 6 11 2" xfId="5138" xr:uid="{B3D43F4F-00CB-42E5-B5A8-17314C67C763}"/>
    <cellStyle name="Nota 2 2 6 11 3" xfId="7132" xr:uid="{758AD489-661B-4963-96D2-73DE8354EBB7}"/>
    <cellStyle name="Nota 2 2 6 11 4" xfId="8475" xr:uid="{57587846-7B46-497B-9473-7EBFA46EA276}"/>
    <cellStyle name="Nota 2 2 6 12" xfId="861" xr:uid="{92DA1623-5B9D-4503-80EE-520D1FE7F2D3}"/>
    <cellStyle name="Nota 2 2 6 13" xfId="3250" xr:uid="{C92F2654-4676-48EF-9766-7296E95B092C}"/>
    <cellStyle name="Nota 2 2 6 14" xfId="6873" xr:uid="{5FA668E9-2082-4A04-8DBB-558DD362B2BA}"/>
    <cellStyle name="Nota 2 2 6 2" xfId="183" xr:uid="{19AB6E6D-7B87-4566-BA97-CD578AC3A9D3}"/>
    <cellStyle name="Nota 2 2 6 2 2" xfId="320" xr:uid="{0D0ADFDA-1929-480E-8EE7-DD9BB8CA5AEF}"/>
    <cellStyle name="Nota 2 2 6 2 2 10" xfId="5631" xr:uid="{E0774731-9CE6-41C8-9079-A9429164B93D}"/>
    <cellStyle name="Nota 2 2 6 2 2 11" xfId="5613" xr:uid="{8B947079-8F2C-494C-B3B7-BC8FBAE522DB}"/>
    <cellStyle name="Nota 2 2 6 2 2 2" xfId="679" xr:uid="{D22903A4-A7FA-4AD6-9B8A-D59343E3BAE3}"/>
    <cellStyle name="Nota 2 2 6 2 2 2 2" xfId="2137" xr:uid="{09BA8847-4279-491F-801B-6AEE73461446}"/>
    <cellStyle name="Nota 2 2 6 2 2 2 2 2" xfId="4451" xr:uid="{5151EEC5-6C9C-4075-8B44-02BFADD1E88B}"/>
    <cellStyle name="Nota 2 2 6 2 2 2 2 3" xfId="6476" xr:uid="{2F4210B1-185F-4D2D-8A76-121CC63024F8}"/>
    <cellStyle name="Nota 2 2 6 2 2 2 2 4" xfId="8045" xr:uid="{663F7C98-19A9-4395-8B5E-5662C4CE9777}"/>
    <cellStyle name="Nota 2 2 6 2 2 2 3" xfId="2589" xr:uid="{116B407A-FCFB-42B8-9296-A94EF5E81988}"/>
    <cellStyle name="Nota 2 2 6 2 2 2 3 2" xfId="4903" xr:uid="{2398DB2B-EE0C-4F91-B5A6-33E0F3B8117C}"/>
    <cellStyle name="Nota 2 2 6 2 2 2 3 3" xfId="6899" xr:uid="{5D505384-6CC6-4528-8DC2-484D4092C774}"/>
    <cellStyle name="Nota 2 2 6 2 2 2 3 4" xfId="8325" xr:uid="{AB8CB5D4-BADB-4A58-BCCC-3BD84C8B83A0}"/>
    <cellStyle name="Nota 2 2 6 2 2 2 4" xfId="2970" xr:uid="{0E08024B-9E70-45BE-9B83-BE249FFBBF71}"/>
    <cellStyle name="Nota 2 2 6 2 2 2 4 2" xfId="5284" xr:uid="{A602558B-E4B9-4022-A871-105ABE3D6935}"/>
    <cellStyle name="Nota 2 2 6 2 2 2 4 3" xfId="7278" xr:uid="{8746213A-C718-4D5F-AB1D-A28D0EBB2BED}"/>
    <cellStyle name="Nota 2 2 6 2 2 2 4 4" xfId="8559" xr:uid="{11B7439A-48D7-47EC-A147-9735B13A5FF4}"/>
    <cellStyle name="Nota 2 2 6 2 2 2 5" xfId="3171" xr:uid="{655DE427-CFAB-4C7A-BAB8-4CACAFDE8CEE}"/>
    <cellStyle name="Nota 2 2 6 2 2 2 5 2" xfId="5485" xr:uid="{12487273-0839-4E86-91FB-6561B98C0B93}"/>
    <cellStyle name="Nota 2 2 6 2 2 2 5 3" xfId="7479" xr:uid="{CBC06724-E7B5-4DFE-B3A9-7BB13FB1DDD0}"/>
    <cellStyle name="Nota 2 2 6 2 2 2 5 4" xfId="8723" xr:uid="{33DF7AC4-A71C-43FE-B1B4-E1FE558545E2}"/>
    <cellStyle name="Nota 2 2 6 2 2 2 6" xfId="1527" xr:uid="{C9913412-EA01-4ED1-904A-2491DA4557D5}"/>
    <cellStyle name="Nota 2 2 6 2 2 2 7" xfId="3843" xr:uid="{57C77864-AB22-42B5-A1B2-883C0E1F9425}"/>
    <cellStyle name="Nota 2 2 6 2 2 2 8" xfId="5915" xr:uid="{00875032-F9C0-4C02-8D5A-30D6A371996B}"/>
    <cellStyle name="Nota 2 2 6 2 2 2 9" xfId="7674" xr:uid="{57FDC315-EBA5-4403-B30C-4BC1BB4C97A5}"/>
    <cellStyle name="Nota 2 2 6 2 2 3" xfId="751" xr:uid="{DC5365E7-00F7-4D75-A970-20EE0AA2C2DA}"/>
    <cellStyle name="Nota 2 2 6 2 2 3 2" xfId="2209" xr:uid="{80CF4226-B7DE-48E5-B15D-B1A06A17FD76}"/>
    <cellStyle name="Nota 2 2 6 2 2 3 2 2" xfId="4523" xr:uid="{D16CBB3F-58EE-486C-9102-EA7966DF49DE}"/>
    <cellStyle name="Nota 2 2 6 2 2 3 2 3" xfId="6545" xr:uid="{F1AD3285-3E46-4C1B-A241-DDBD8FB373AE}"/>
    <cellStyle name="Nota 2 2 6 2 2 3 2 4" xfId="8086" xr:uid="{89C912BE-F0A4-4F20-92B3-00D0900CD27C}"/>
    <cellStyle name="Nota 2 2 6 2 2 3 3" xfId="2661" xr:uid="{555CF153-57DE-46C3-9EFC-4F361A655608}"/>
    <cellStyle name="Nota 2 2 6 2 2 3 3 2" xfId="4975" xr:uid="{E9E24834-2B09-4B42-96A8-A2432D7875CE}"/>
    <cellStyle name="Nota 2 2 6 2 2 3 3 3" xfId="6969" xr:uid="{642A767A-8299-4029-8372-F5E1B15299D6}"/>
    <cellStyle name="Nota 2 2 6 2 2 3 3 4" xfId="8366" xr:uid="{5CE24439-626C-4FAC-8035-51C8A31226ED}"/>
    <cellStyle name="Nota 2 2 6 2 2 3 4" xfId="3036" xr:uid="{5EE73D1F-0643-4E56-AB3C-6EDEB973249E}"/>
    <cellStyle name="Nota 2 2 6 2 2 3 4 2" xfId="5350" xr:uid="{62772851-A9D0-4915-B083-1C65471699BA}"/>
    <cellStyle name="Nota 2 2 6 2 2 3 4 3" xfId="7344" xr:uid="{ABC97D6F-BDC3-481D-96E8-94FDB331132D}"/>
    <cellStyle name="Nota 2 2 6 2 2 3 4 4" xfId="8594" xr:uid="{09B6DCB3-C82C-42D3-A4D9-4CC95D08793F}"/>
    <cellStyle name="Nota 2 2 6 2 2 3 5" xfId="3206" xr:uid="{420749AC-AA6C-4C71-A0D7-5C8C23269987}"/>
    <cellStyle name="Nota 2 2 6 2 2 3 5 2" xfId="5520" xr:uid="{B72CDD24-FADC-4FD5-9D8C-EAD4D1F58075}"/>
    <cellStyle name="Nota 2 2 6 2 2 3 5 3" xfId="7514" xr:uid="{9D633BAC-FBE1-436C-8E59-36E45AADC142}"/>
    <cellStyle name="Nota 2 2 6 2 2 3 5 4" xfId="8758" xr:uid="{046638E2-E604-44E3-95FB-7C5C9A909212}"/>
    <cellStyle name="Nota 2 2 6 2 2 3 6" xfId="1599" xr:uid="{93DC38D3-9E4B-4E8C-ADED-BC0AF76DE0B4}"/>
    <cellStyle name="Nota 2 2 6 2 2 3 7" xfId="3915" xr:uid="{AFBFBF88-19F6-4639-9990-782C41AEFE71}"/>
    <cellStyle name="Nota 2 2 6 2 2 3 8" xfId="5982" xr:uid="{30D2411D-5B20-42B6-8C2C-98D89B905862}"/>
    <cellStyle name="Nota 2 2 6 2 2 3 9" xfId="7715" xr:uid="{E6F9C33C-BD36-4FCF-8F60-3B52F79A915B}"/>
    <cellStyle name="Nota 2 2 6 2 2 4" xfId="1810" xr:uid="{F1B1E4B0-F4E6-40E5-A1F9-54FE46063BAD}"/>
    <cellStyle name="Nota 2 2 6 2 2 4 2" xfId="4124" xr:uid="{DFED8E6E-F04E-48A5-8464-C0647F069741}"/>
    <cellStyle name="Nota 2 2 6 2 2 4 3" xfId="6173" xr:uid="{31F40268-3326-42AE-A9D4-89AE47B80DCA}"/>
    <cellStyle name="Nota 2 2 6 2 2 4 4" xfId="7839" xr:uid="{42F16E83-7399-4E42-88EC-A068E50CB4F8}"/>
    <cellStyle name="Nota 2 2 6 2 2 5" xfId="2267" xr:uid="{B9CFE268-0BA4-4BC7-8C63-00CA3778A42A}"/>
    <cellStyle name="Nota 2 2 6 2 2 5 2" xfId="4581" xr:uid="{D964FBAC-333B-460A-ACCA-46E304960325}"/>
    <cellStyle name="Nota 2 2 6 2 2 5 3" xfId="6603" xr:uid="{3A8CF2B7-893C-4036-9FEF-F6ACAD07650D}"/>
    <cellStyle name="Nota 2 2 6 2 2 5 4" xfId="8122" xr:uid="{C406A049-B6D3-456B-8F92-3923E4D00EAF}"/>
    <cellStyle name="Nota 2 2 6 2 2 6" xfId="2702" xr:uid="{0334E4A5-2642-47BE-A8CE-6202D1AE3F89}"/>
    <cellStyle name="Nota 2 2 6 2 2 6 2" xfId="5016" xr:uid="{5DD6BB1C-28E0-42FE-9273-ECD37C094AD9}"/>
    <cellStyle name="Nota 2 2 6 2 2 6 3" xfId="7010" xr:uid="{86622110-0BE4-4C4F-BB7F-41888424C6D0}"/>
    <cellStyle name="Nota 2 2 6 2 2 6 4" xfId="8401" xr:uid="{8ACB2A3A-8A0A-40B9-A563-D34F6688B88D}"/>
    <cellStyle name="Nota 2 2 6 2 2 7" xfId="891" xr:uid="{F80385BC-5F15-4001-90EB-5A88DB6B6986}"/>
    <cellStyle name="Nota 2 2 6 2 2 7 2" xfId="3275" xr:uid="{7C3E43ED-06A4-4BF2-80D3-BE07817E858F}"/>
    <cellStyle name="Nota 2 2 6 2 2 7 3" xfId="3494" xr:uid="{3CE72F0B-2680-4CDF-9622-6CF02E0BC73B}"/>
    <cellStyle name="Nota 2 2 6 2 2 7 4" xfId="6095" xr:uid="{BBAEC836-63D7-441D-9290-2AA67D2BD636}"/>
    <cellStyle name="Nota 2 2 6 2 2 8" xfId="1168" xr:uid="{A72F0920-0D7A-4584-80A3-C7A491E61A1D}"/>
    <cellStyle name="Nota 2 2 6 2 2 9" xfId="3510" xr:uid="{DC2B3085-832A-40FF-8336-4422547AF841}"/>
    <cellStyle name="Nota 2 2 6 2 3" xfId="494" xr:uid="{A85CC3F7-DA20-4997-A4EC-E159847FFE4B}"/>
    <cellStyle name="Nota 2 2 6 2 3 2" xfId="1957" xr:uid="{2DBB2158-CD5E-4F64-9AEF-0F5465303573}"/>
    <cellStyle name="Nota 2 2 6 2 3 2 2" xfId="4271" xr:uid="{8E76CFC1-3A38-44F9-96D3-7E3F6EEC73D9}"/>
    <cellStyle name="Nota 2 2 6 2 3 2 3" xfId="6313" xr:uid="{6E4FF8C9-F24B-4460-92C5-5E6CAC7CE175}"/>
    <cellStyle name="Nota 2 2 6 2 3 2 4" xfId="7929" xr:uid="{21ACF924-D893-43C2-A7E4-E6ED08C4D4E5}"/>
    <cellStyle name="Nota 2 2 6 2 3 3" xfId="2410" xr:uid="{9FFD0087-782B-4289-AC83-A9D92E0B77BD}"/>
    <cellStyle name="Nota 2 2 6 2 3 3 2" xfId="4724" xr:uid="{9129574A-F98E-4114-8412-7667E29C0CF5}"/>
    <cellStyle name="Nota 2 2 6 2 3 3 3" xfId="6736" xr:uid="{B6484A55-DA62-4016-9A99-99F7DC76FF9B}"/>
    <cellStyle name="Nota 2 2 6 2 3 3 4" xfId="8210" xr:uid="{33AECAF0-FF29-4A8F-BB84-E7E8B290054C}"/>
    <cellStyle name="Nota 2 2 6 2 3 4" xfId="2817" xr:uid="{7F34921A-5EB4-44DF-A649-35AD88F24A71}"/>
    <cellStyle name="Nota 2 2 6 2 3 4 2" xfId="5131" xr:uid="{A77AE4A9-973C-4C74-95DA-8A610A25286E}"/>
    <cellStyle name="Nota 2 2 6 2 3 4 3" xfId="7125" xr:uid="{6E22089E-B9E7-41B1-9D6A-BC1317BCEEEF}"/>
    <cellStyle name="Nota 2 2 6 2 3 4 4" xfId="8470" xr:uid="{BE51D7F2-2D62-4552-AF75-6EC187B04F52}"/>
    <cellStyle name="Nota 2 2 6 2 3 5" xfId="3087" xr:uid="{54CFC5FF-52CB-4266-A6F8-51B7845D8F3A}"/>
    <cellStyle name="Nota 2 2 6 2 3 5 2" xfId="5401" xr:uid="{DD5FC1A4-446E-4208-8E5C-1CB220695205}"/>
    <cellStyle name="Nota 2 2 6 2 3 5 3" xfId="7395" xr:uid="{43B77FEC-3417-4180-ADD0-4646FC19C5F5}"/>
    <cellStyle name="Nota 2 2 6 2 3 5 4" xfId="8639" xr:uid="{E7A46A31-9567-485B-9CA5-3E02A135CACA}"/>
    <cellStyle name="Nota 2 2 6 2 3 6" xfId="1342" xr:uid="{EE0C8594-33B9-4874-BBD4-2CD3B1E79379}"/>
    <cellStyle name="Nota 2 2 6 2 3 7" xfId="3661" xr:uid="{81798969-7A07-4FA1-AA38-74E2EDB75EAA}"/>
    <cellStyle name="Nota 2 2 6 2 3 8" xfId="5754" xr:uid="{56F17883-0665-475B-88D2-E268762F8E82}"/>
    <cellStyle name="Nota 2 2 6 2 3 9" xfId="7560" xr:uid="{87CADC50-5A09-4FF4-8D84-3D1698F7D782}"/>
    <cellStyle name="Nota 2 2 6 2 4" xfId="1627" xr:uid="{204BEBCD-9510-4A80-8E4F-1072DD50ED93}"/>
    <cellStyle name="Nota 2 2 6 2 4 2" xfId="3941" xr:uid="{171AB401-69F6-46F0-A31A-981A0EB407AA}"/>
    <cellStyle name="Nota 2 2 6 2 4 3" xfId="6002" xr:uid="{DB344A8A-72CB-4493-A26A-9294003B6209}"/>
    <cellStyle name="Nota 2 2 6 2 4 4" xfId="7726" xr:uid="{A50F522A-5733-4582-A53C-2737E0462E00}"/>
    <cellStyle name="Nota 2 2 6 2 5" xfId="1031" xr:uid="{D58D4274-736D-46B1-9D9F-A75B2B0A2497}"/>
    <cellStyle name="Nota 2 2 6 2 6" xfId="3397" xr:uid="{EB5D9C9F-9410-450A-BD77-E6E2923028A3}"/>
    <cellStyle name="Nota 2 2 6 2 7" xfId="5536" xr:uid="{81D1C556-27EB-4D2E-BAFF-76C262470BE9}"/>
    <cellStyle name="Nota 2 2 6 2 8" xfId="5595" xr:uid="{472A1550-B99F-45A5-AC57-088FDC174AB5}"/>
    <cellStyle name="Nota 2 2 6 3" xfId="251" xr:uid="{36CB42E5-A066-4C0B-B041-B858C12FA3F0}"/>
    <cellStyle name="Nota 2 2 6 3 10" xfId="3454" xr:uid="{BC63EC67-FD86-44DF-9377-0F30300A3460}"/>
    <cellStyle name="Nota 2 2 6 3 11" xfId="5579" xr:uid="{7FDFBBF1-A554-497A-B37B-B4627D03E6DB}"/>
    <cellStyle name="Nota 2 2 6 3 12" xfId="5598" xr:uid="{69AC3D0A-05FA-4C37-8700-18F4E9FA3F3B}"/>
    <cellStyle name="Nota 2 2 6 3 2" xfId="633" xr:uid="{B7ED39A7-1703-49DB-A1C2-D40E7C80BABD}"/>
    <cellStyle name="Nota 2 2 6 3 2 2" xfId="2091" xr:uid="{23DA1FDE-8FD2-4498-AA92-0BCAB6099F4A}"/>
    <cellStyle name="Nota 2 2 6 3 2 2 2" xfId="4405" xr:uid="{C4E904C7-EBED-4893-B0CA-48274D7FF6D2}"/>
    <cellStyle name="Nota 2 2 6 3 2 2 3" xfId="6443" xr:uid="{42AFBD94-5C9A-4558-8362-7D7B1281961F}"/>
    <cellStyle name="Nota 2 2 6 3 2 2 4" xfId="8002" xr:uid="{5E609C35-8539-4B32-9130-37CA6E4C29B6}"/>
    <cellStyle name="Nota 2 2 6 3 2 3" xfId="2543" xr:uid="{AF612A09-8C13-4F83-98DC-E0D1BC4D377B}"/>
    <cellStyle name="Nota 2 2 6 3 2 3 2" xfId="4857" xr:uid="{3FEB7704-F609-479B-BF23-B15416158009}"/>
    <cellStyle name="Nota 2 2 6 3 2 3 3" xfId="6864" xr:uid="{7662D18C-7751-4BF5-A75E-CBA258AEBC22}"/>
    <cellStyle name="Nota 2 2 6 3 2 3 4" xfId="8282" xr:uid="{5584DEFC-F907-4405-978E-FD5020415C3F}"/>
    <cellStyle name="Nota 2 2 6 3 2 4" xfId="2941" xr:uid="{3DFCBCA5-9EE7-451D-9DEE-A06AE4B24356}"/>
    <cellStyle name="Nota 2 2 6 3 2 4 2" xfId="5255" xr:uid="{3F785A24-CE86-4DE3-9651-B6815E6F53B3}"/>
    <cellStyle name="Nota 2 2 6 3 2 4 3" xfId="7249" xr:uid="{01F53982-4503-4324-8669-D9C8BA5253EB}"/>
    <cellStyle name="Nota 2 2 6 3 2 4 4" xfId="8533" xr:uid="{2AED73A7-41E3-40F7-AA19-A49D58FE3DC7}"/>
    <cellStyle name="Nota 2 2 6 3 2 5" xfId="3147" xr:uid="{598C0B32-7085-4959-86C8-052FAD731067}"/>
    <cellStyle name="Nota 2 2 6 3 2 5 2" xfId="5461" xr:uid="{952FA13A-F9B6-4F10-BB2B-4C584C5776CF}"/>
    <cellStyle name="Nota 2 2 6 3 2 5 3" xfId="7455" xr:uid="{D67CCBE9-2CDA-4B1D-AD10-AF0934ED275D}"/>
    <cellStyle name="Nota 2 2 6 3 2 5 4" xfId="8699" xr:uid="{3F0E527D-4F50-40A3-94F3-C8AA57840B72}"/>
    <cellStyle name="Nota 2 2 6 3 2 6" xfId="1481" xr:uid="{84C10CE6-6E2D-48B6-96FE-6F71CD13EA69}"/>
    <cellStyle name="Nota 2 2 6 3 2 7" xfId="3797" xr:uid="{D3247B47-5873-414E-8150-4D9F79C570E9}"/>
    <cellStyle name="Nota 2 2 6 3 2 8" xfId="5882" xr:uid="{981B8C67-AB0B-45CF-BDC3-0C63DBE1E180}"/>
    <cellStyle name="Nota 2 2 6 3 2 9" xfId="7631" xr:uid="{F141197F-2A74-4B9B-BF96-287ECA81D91B}"/>
    <cellStyle name="Nota 2 2 6 3 3" xfId="709" xr:uid="{299A28B7-23E7-4558-A907-E3A77BEE8FED}"/>
    <cellStyle name="Nota 2 2 6 3 3 2" xfId="2167" xr:uid="{28B45B20-20C7-4E11-A06C-EAB494A2800C}"/>
    <cellStyle name="Nota 2 2 6 3 3 2 2" xfId="4481" xr:uid="{5FC1D644-0DC5-4BA9-952D-3F03CE7BA39E}"/>
    <cellStyle name="Nota 2 2 6 3 3 2 3" xfId="6503" xr:uid="{CB06005E-7ED6-4368-A2B7-2FAB1C6456A9}"/>
    <cellStyle name="Nota 2 2 6 3 3 2 4" xfId="8065" xr:uid="{1371DED8-0AC2-4641-9F47-35CA17BC8626}"/>
    <cellStyle name="Nota 2 2 6 3 3 3" xfId="2619" xr:uid="{C02A3395-B46A-43C5-B070-1BF576E98F49}"/>
    <cellStyle name="Nota 2 2 6 3 3 3 2" xfId="4933" xr:uid="{9CFBFAD3-E251-44A4-AA38-D9EBA95A6679}"/>
    <cellStyle name="Nota 2 2 6 3 3 3 3" xfId="6927" xr:uid="{4D145801-F052-4108-9422-B6401DD76EAA}"/>
    <cellStyle name="Nota 2 2 6 3 3 3 4" xfId="8345" xr:uid="{5103E803-24FD-4FFF-93C9-769E9B889B70}"/>
    <cellStyle name="Nota 2 2 6 3 3 4" xfId="2994" xr:uid="{0B322EDC-1928-484F-BD2C-F72E244C705A}"/>
    <cellStyle name="Nota 2 2 6 3 3 4 2" xfId="5308" xr:uid="{6C861A29-C3D4-433E-A683-4C0386800799}"/>
    <cellStyle name="Nota 2 2 6 3 3 4 3" xfId="7302" xr:uid="{C132E1F7-E5E8-4BBA-AB57-80840A06EE36}"/>
    <cellStyle name="Nota 2 2 6 3 3 4 4" xfId="8573" xr:uid="{ED07436E-4800-436F-AF95-D5508FC23159}"/>
    <cellStyle name="Nota 2 2 6 3 3 5" xfId="3185" xr:uid="{431CFAFF-2336-4EDE-BBC6-E8B4850AB872}"/>
    <cellStyle name="Nota 2 2 6 3 3 5 2" xfId="5499" xr:uid="{88996975-8999-4BB3-B083-71F542748061}"/>
    <cellStyle name="Nota 2 2 6 3 3 5 3" xfId="7493" xr:uid="{BC6C32A3-BE22-4398-9B45-203F9DEFF462}"/>
    <cellStyle name="Nota 2 2 6 3 3 5 4" xfId="8737" xr:uid="{49569170-916C-4BA7-916A-6D1015CB0804}"/>
    <cellStyle name="Nota 2 2 6 3 3 6" xfId="1557" xr:uid="{5DE5962F-5D6C-4B8D-A423-D111F40C9E7C}"/>
    <cellStyle name="Nota 2 2 6 3 3 7" xfId="3873" xr:uid="{F9F8DD32-BF6B-4DE9-866F-72C54200E402}"/>
    <cellStyle name="Nota 2 2 6 3 3 8" xfId="5940" xr:uid="{6E455C60-1575-409A-977B-CDC6D76346F8}"/>
    <cellStyle name="Nota 2 2 6 3 3 9" xfId="7694" xr:uid="{794BEA48-51AE-4688-889A-D8B818DA70A6}"/>
    <cellStyle name="Nota 2 2 6 3 4" xfId="520" xr:uid="{98F4B938-66B5-4CD9-B8D6-F54F16AC4BCC}"/>
    <cellStyle name="Nota 2 2 6 3 4 2" xfId="1979" xr:uid="{9DA0E549-DB62-4598-860F-4D1060E922BA}"/>
    <cellStyle name="Nota 2 2 6 3 4 2 2" xfId="4293" xr:uid="{2C49445B-6263-43D3-94E0-C7B11A4F32BB}"/>
    <cellStyle name="Nota 2 2 6 3 4 2 3" xfId="6334" xr:uid="{E344751F-316B-4CFA-BDF0-653085486630}"/>
    <cellStyle name="Nota 2 2 6 3 4 2 4" xfId="7942" xr:uid="{12CE881C-A457-4FB5-8E4C-76C96C6C451A}"/>
    <cellStyle name="Nota 2 2 6 3 4 3" xfId="2430" xr:uid="{D02B900A-9EB9-4337-AD91-B36BE1F5CCED}"/>
    <cellStyle name="Nota 2 2 6 3 4 3 2" xfId="4744" xr:uid="{AE029FE1-5A4E-4C1E-8DAB-27C5D13A1120}"/>
    <cellStyle name="Nota 2 2 6 3 4 3 3" xfId="6754" xr:uid="{BB88359B-8DE0-4DDF-B0A1-E60AD74E486D}"/>
    <cellStyle name="Nota 2 2 6 3 4 3 4" xfId="8221" xr:uid="{A4A8A5EE-926D-4BD4-BEA2-0394271F1819}"/>
    <cellStyle name="Nota 2 2 6 3 4 4" xfId="2835" xr:uid="{0D42E163-A7E3-40F4-8703-38AD75696717}"/>
    <cellStyle name="Nota 2 2 6 3 4 4 2" xfId="5149" xr:uid="{D86307B1-9C7A-4636-84DB-7B7EEAAC7252}"/>
    <cellStyle name="Nota 2 2 6 3 4 4 3" xfId="7143" xr:uid="{523BFFF4-D4FE-417F-966D-5C62AAE7FD70}"/>
    <cellStyle name="Nota 2 2 6 3 4 4 4" xfId="8479" xr:uid="{C34A7F72-52C3-44DA-94FD-1A9362A443B9}"/>
    <cellStyle name="Nota 2 2 6 3 4 5" xfId="3094" xr:uid="{53B54396-F345-4FA2-B724-5AC515915673}"/>
    <cellStyle name="Nota 2 2 6 3 4 5 2" xfId="5408" xr:uid="{1F68B1D7-6945-4E2F-9148-708C98A034BA}"/>
    <cellStyle name="Nota 2 2 6 3 4 5 3" xfId="7402" xr:uid="{6F1EB8AE-C512-458E-A6F7-1D3079DA4663}"/>
    <cellStyle name="Nota 2 2 6 3 4 5 4" xfId="8646" xr:uid="{B928B65F-84E8-419A-BEED-1C27671FB96C}"/>
    <cellStyle name="Nota 2 2 6 3 4 6" xfId="1368" xr:uid="{89E18DD9-91AC-4BAB-B9B0-F4B249587DF8}"/>
    <cellStyle name="Nota 2 2 6 3 4 7" xfId="3684" xr:uid="{3B6D8EB6-F9E4-4619-8B27-6243809FC655}"/>
    <cellStyle name="Nota 2 2 6 3 4 8" xfId="5774" xr:uid="{FC9A77D5-F1EB-4505-9D52-6274C62BA7B9}"/>
    <cellStyle name="Nota 2 2 6 3 4 9" xfId="7571" xr:uid="{7C0D2F29-6DA1-447D-A42D-D08FCB47F7A1}"/>
    <cellStyle name="Nota 2 2 6 3 5" xfId="1751" xr:uid="{328B1859-EE66-49E0-9641-D6047A1235A9}"/>
    <cellStyle name="Nota 2 2 6 3 5 2" xfId="4065" xr:uid="{E7FD61C7-7AE1-414C-935A-C6312C2237F5}"/>
    <cellStyle name="Nota 2 2 6 3 5 3" xfId="6117" xr:uid="{A7E8CB6F-839F-4D92-B77F-488F7F3B840B}"/>
    <cellStyle name="Nota 2 2 6 3 5 4" xfId="7804" xr:uid="{0023C74C-A956-48F6-B072-84DC6EE19932}"/>
    <cellStyle name="Nota 2 2 6 3 6" xfId="1795" xr:uid="{8BE2DD9C-38E0-4E5A-9952-D4C126F58C7C}"/>
    <cellStyle name="Nota 2 2 6 3 6 2" xfId="4109" xr:uid="{B86FE0EA-8C71-49B7-B8A0-21ECAA5F8451}"/>
    <cellStyle name="Nota 2 2 6 3 6 3" xfId="6158" xr:uid="{A7B02D12-DF60-4E09-B6DB-CE455D776BF8}"/>
    <cellStyle name="Nota 2 2 6 3 6 4" xfId="7831" xr:uid="{D2EBB3ED-D0CA-4622-AF8C-E6068737D9F9}"/>
    <cellStyle name="Nota 2 2 6 3 7" xfId="2229" xr:uid="{BF34423B-EFD9-40AE-8C5A-BCAE09289103}"/>
    <cellStyle name="Nota 2 2 6 3 7 2" xfId="4543" xr:uid="{C96A367D-96AC-436E-8074-685FFE7BCB82}"/>
    <cellStyle name="Nota 2 2 6 3 7 3" xfId="6565" xr:uid="{576F2110-1B34-40E3-9192-13E21A06BA89}"/>
    <cellStyle name="Nota 2 2 6 3 7 4" xfId="8097" xr:uid="{8986A7BF-BDE5-4C56-9F8D-F01C23C033EC}"/>
    <cellStyle name="Nota 2 2 6 3 8" xfId="2687" xr:uid="{C3A48705-E8BA-482A-93E7-B70542236D2F}"/>
    <cellStyle name="Nota 2 2 6 3 8 2" xfId="5001" xr:uid="{C48747F5-4762-4999-90D3-7785E458F11F}"/>
    <cellStyle name="Nota 2 2 6 3 8 3" xfId="6995" xr:uid="{C22FB0FE-EC27-4DC9-87CF-9A06DB9DD1C1}"/>
    <cellStyle name="Nota 2 2 6 3 8 4" xfId="8386" xr:uid="{ED7C980A-E8CB-4B3D-865F-EBFB8552421A}"/>
    <cellStyle name="Nota 2 2 6 3 9" xfId="1099" xr:uid="{54716D3F-09EE-426A-987B-5DB89BBA2303}"/>
    <cellStyle name="Nota 2 2 6 4" xfId="423" xr:uid="{C8405BC2-1C1A-4064-A819-AE300A2A0B03}"/>
    <cellStyle name="Nota 2 2 6 4 2" xfId="1899" xr:uid="{D65D0759-68E7-4B14-ACE4-7F68D781EAA4}"/>
    <cellStyle name="Nota 2 2 6 4 2 2" xfId="4213" xr:uid="{2F4E8183-EE85-4BCA-8519-FC892ECE6E71}"/>
    <cellStyle name="Nota 2 2 6 4 2 3" xfId="6259" xr:uid="{DC1DC034-10C7-4F72-8690-BA3DEAC8C4EA}"/>
    <cellStyle name="Nota 2 2 6 4 2 4" xfId="7890" xr:uid="{1E237DBA-2DA5-4FBE-BB0F-9BED23471CE2}"/>
    <cellStyle name="Nota 2 2 6 4 3" xfId="2356" xr:uid="{040452F5-3052-401E-B294-8791984AD8D1}"/>
    <cellStyle name="Nota 2 2 6 4 3 2" xfId="4670" xr:uid="{430264F3-ED07-43CE-A286-09EF31F501A3}"/>
    <cellStyle name="Nota 2 2 6 4 3 3" xfId="6684" xr:uid="{4F9A8715-ABA4-4FE7-81B2-F88ED773DABD}"/>
    <cellStyle name="Nota 2 2 6 4 3 4" xfId="8172" xr:uid="{5C9A6F34-AE13-4633-8E9C-011BB84E958C}"/>
    <cellStyle name="Nota 2 2 6 4 4" xfId="2770" xr:uid="{66C3FAE0-F540-49F2-91EB-81BAB0278516}"/>
    <cellStyle name="Nota 2 2 6 4 4 2" xfId="5084" xr:uid="{A6356BCB-AC65-476F-81E1-6232CED18D27}"/>
    <cellStyle name="Nota 2 2 6 4 4 3" xfId="7078" xr:uid="{0E9DFB93-CDF9-4304-A91D-F4BCEFEEBAE3}"/>
    <cellStyle name="Nota 2 2 6 4 4 4" xfId="8439" xr:uid="{4BF59E97-93E9-4799-BCED-E90B63E921CF}"/>
    <cellStyle name="Nota 2 2 6 4 5" xfId="3064" xr:uid="{C63BA87F-B5D8-4E24-B362-9E94CE42C812}"/>
    <cellStyle name="Nota 2 2 6 4 5 2" xfId="5378" xr:uid="{69E19D1C-C394-4CBD-9471-FC965051FC85}"/>
    <cellStyle name="Nota 2 2 6 4 5 3" xfId="7372" xr:uid="{BE8B7B9E-8C1C-4498-AA3D-E4CAF8B3B096}"/>
    <cellStyle name="Nota 2 2 6 4 5 4" xfId="8616" xr:uid="{5F02F18A-1AE0-42DF-9394-0433FB78AE84}"/>
    <cellStyle name="Nota 2 2 6 4 6" xfId="1271" xr:uid="{7AC5C8CA-CC5A-4E5E-AA74-C5D562397A91}"/>
    <cellStyle name="Nota 2 2 6 4 7" xfId="3599" xr:uid="{450BB69D-8524-4589-BDE0-3A33015E6C54}"/>
    <cellStyle name="Nota 2 2 6 4 8" xfId="5705" xr:uid="{8BF7295E-7604-4AE8-9E8C-F63DFEAD5469}"/>
    <cellStyle name="Nota 2 2 6 4 9" xfId="7532" xr:uid="{C31E894E-E3BA-45FA-8EB6-687EC24C2B38}"/>
    <cellStyle name="Nota 2 2 6 5" xfId="567" xr:uid="{C6DE8094-FC73-4B66-9390-EF1FAF304660}"/>
    <cellStyle name="Nota 2 2 6 5 2" xfId="2025" xr:uid="{412A5341-721C-4706-A282-0DC111AD4AEE}"/>
    <cellStyle name="Nota 2 2 6 5 2 2" xfId="4339" xr:uid="{354A6E16-D52C-43F0-A88A-369FB15B6388}"/>
    <cellStyle name="Nota 2 2 6 5 2 3" xfId="6380" xr:uid="{07C881AD-8889-4814-8161-D5537D3C18EB}"/>
    <cellStyle name="Nota 2 2 6 5 2 4" xfId="7957" xr:uid="{813A77B3-AC69-4A28-B09D-D48275B490E5}"/>
    <cellStyle name="Nota 2 2 6 5 3" xfId="2477" xr:uid="{CDCA020F-A335-46C6-80C0-03B711FB5CA8}"/>
    <cellStyle name="Nota 2 2 6 5 3 2" xfId="4791" xr:uid="{89499A35-BF1F-4126-B5A0-AA71E93CAB7E}"/>
    <cellStyle name="Nota 2 2 6 5 3 3" xfId="6801" xr:uid="{472D1FAE-625B-4BCD-98F9-20A8FA8D9E3C}"/>
    <cellStyle name="Nota 2 2 6 5 3 4" xfId="8237" xr:uid="{E51F9D5D-87FC-44E2-9FBC-6EF0E7D07F2B}"/>
    <cellStyle name="Nota 2 2 6 5 4" xfId="2882" xr:uid="{C57DF7A5-0EB8-4868-947F-70DBC0AF26BF}"/>
    <cellStyle name="Nota 2 2 6 5 4 2" xfId="5196" xr:uid="{7F89A189-A958-487E-8D0D-C98C035EBE6F}"/>
    <cellStyle name="Nota 2 2 6 5 4 3" xfId="7190" xr:uid="{5994EAB5-CFF7-41D0-9BBC-24EFF87D17AD}"/>
    <cellStyle name="Nota 2 2 6 5 4 4" xfId="8495" xr:uid="{BFC4578B-47EA-4292-B867-130670EC4C0E}"/>
    <cellStyle name="Nota 2 2 6 5 5" xfId="3109" xr:uid="{407426D7-1C74-48A3-8CD7-B4537C8CE131}"/>
    <cellStyle name="Nota 2 2 6 5 5 2" xfId="5423" xr:uid="{327E2575-CB77-4266-8B64-3D15CB242043}"/>
    <cellStyle name="Nota 2 2 6 5 5 3" xfId="7417" xr:uid="{53F7FC79-146C-495A-993A-4B014AFBCCAB}"/>
    <cellStyle name="Nota 2 2 6 5 5 4" xfId="8661" xr:uid="{84C81F68-DFC5-4B5A-A4CC-B5BAC3A038A2}"/>
    <cellStyle name="Nota 2 2 6 5 6" xfId="1415" xr:uid="{83A64D06-1A4B-4360-9E1F-00153883EC97}"/>
    <cellStyle name="Nota 2 2 6 5 7" xfId="3731" xr:uid="{495BFE59-B6D5-4296-BC46-9D5CDA5C25DA}"/>
    <cellStyle name="Nota 2 2 6 5 8" xfId="5821" xr:uid="{37FE5A29-FEC3-4A5A-B82E-CB55AD8BED61}"/>
    <cellStyle name="Nota 2 2 6 5 9" xfId="7586" xr:uid="{BA25B469-7672-4715-80D8-D16828E79FA1}"/>
    <cellStyle name="Nota 2 2 6 6" xfId="342" xr:uid="{C7A23213-3C98-4B1E-90D7-73BA6407929F}"/>
    <cellStyle name="Nota 2 2 6 6 2" xfId="1829" xr:uid="{A3BE6068-C4C0-46F3-8AE4-7893E4921B79}"/>
    <cellStyle name="Nota 2 2 6 6 2 2" xfId="4143" xr:uid="{74911B15-3749-4D25-8211-961086D74B42}"/>
    <cellStyle name="Nota 2 2 6 6 2 3" xfId="6192" xr:uid="{FA2740DA-3A89-4B4F-9910-7A879AC2EC1C}"/>
    <cellStyle name="Nota 2 2 6 6 2 4" xfId="7848" xr:uid="{DCD7B253-1D54-47CA-90E5-AF96C504338C}"/>
    <cellStyle name="Nota 2 2 6 6 3" xfId="2284" xr:uid="{C34771A1-39D0-4F6F-8617-F573E60DCF84}"/>
    <cellStyle name="Nota 2 2 6 6 3 2" xfId="4598" xr:uid="{1E584497-81B6-4DE2-AC95-317407F3E706}"/>
    <cellStyle name="Nota 2 2 6 6 3 3" xfId="6620" xr:uid="{437BA891-D4E7-42B6-A958-6DC14022B963}"/>
    <cellStyle name="Nota 2 2 6 6 3 4" xfId="8130" xr:uid="{A38A0B2A-ADDD-43CE-A299-83213F0BF16C}"/>
    <cellStyle name="Nota 2 2 6 6 4" xfId="2714" xr:uid="{05D416EF-E2BF-4E8D-AB01-70CF6EF10467}"/>
    <cellStyle name="Nota 2 2 6 6 4 2" xfId="5028" xr:uid="{CADC7F3E-B51E-4A5E-92B1-D254F46EFB28}"/>
    <cellStyle name="Nota 2 2 6 6 4 3" xfId="7022" xr:uid="{84A5488F-9AEF-42E0-BCD2-4EBD50B02211}"/>
    <cellStyle name="Nota 2 2 6 6 4 4" xfId="8410" xr:uid="{8A3B22FF-E5AC-4D7D-A229-AB1C4290521D}"/>
    <cellStyle name="Nota 2 2 6 6 5" xfId="2757" xr:uid="{5EE52FF5-8E81-4447-B930-A3C578D7F1CD}"/>
    <cellStyle name="Nota 2 2 6 6 5 2" xfId="5071" xr:uid="{5684BCE2-C991-437A-8D76-28EDB52B8151}"/>
    <cellStyle name="Nota 2 2 6 6 5 3" xfId="7065" xr:uid="{2A471B7B-9355-4FDF-9D3F-C61C8569D13D}"/>
    <cellStyle name="Nota 2 2 6 6 5 4" xfId="8430" xr:uid="{7C8B7A73-6F40-429C-81F8-56245D2CA76B}"/>
    <cellStyle name="Nota 2 2 6 6 6" xfId="1190" xr:uid="{4FF625C9-848F-4E00-A5C6-70C35D4F128F}"/>
    <cellStyle name="Nota 2 2 6 6 7" xfId="3528" xr:uid="{D22A6C15-582B-4325-B4B1-0B4B2B79914E}"/>
    <cellStyle name="Nota 2 2 6 6 8" xfId="5648" xr:uid="{D313FC2C-55D2-4C08-8D2F-7A6C4D7F728F}"/>
    <cellStyle name="Nota 2 2 6 6 9" xfId="3670" xr:uid="{50AF7CCE-7CE3-435A-8EA9-0222E95A7103}"/>
    <cellStyle name="Nota 2 2 6 7" xfId="961" xr:uid="{72CE0B48-4AC8-4C1D-9830-7AB9659AB454}"/>
    <cellStyle name="Nota 2 2 6 7 2" xfId="3339" xr:uid="{38D60F54-2271-4DB2-AE47-068E7FD847D7}"/>
    <cellStyle name="Nota 2 2 6 7 3" xfId="3437" xr:uid="{411ED631-D0B5-40E0-AC5C-9F21B4051481}"/>
    <cellStyle name="Nota 2 2 6 7 4" xfId="6868" xr:uid="{59787C8B-178D-44D2-89B5-A710BD330319}"/>
    <cellStyle name="Nota 2 2 6 8" xfId="1651" xr:uid="{6411EC16-DC61-4610-BBC0-7DBDF5FF50A3}"/>
    <cellStyle name="Nota 2 2 6 8 2" xfId="3965" xr:uid="{1C6F4B1D-1160-426C-98DD-CA64EBE4F5CA}"/>
    <cellStyle name="Nota 2 2 6 8 3" xfId="6023" xr:uid="{4B84AAC7-EC11-453A-A6DB-B583D052DCF4}"/>
    <cellStyle name="Nota 2 2 6 8 4" xfId="7744" xr:uid="{03DC930F-C2C9-4BFE-9095-4F0846026489}"/>
    <cellStyle name="Nota 2 2 6 9" xfId="1880" xr:uid="{B675EEAA-BFF0-4D82-831D-173F68512564}"/>
    <cellStyle name="Nota 2 2 6 9 2" xfId="4194" xr:uid="{8494D607-B106-4640-A727-1C59B848A7AF}"/>
    <cellStyle name="Nota 2 2 6 9 3" xfId="6240" xr:uid="{3AE6EDAB-13C9-42C7-9C51-99537A834B4F}"/>
    <cellStyle name="Nota 2 2 6 9 4" xfId="7876" xr:uid="{E4E3CFC7-EA07-4724-8263-9492F98772EB}"/>
    <cellStyle name="Nota 2 2 7" xfId="139" xr:uid="{FFB10A80-AFF3-4DB7-BC6B-101F89FF9C1E}"/>
    <cellStyle name="Nota 2 2 7 10" xfId="805" xr:uid="{7A20E816-2F98-4FB7-AB58-464E23E53507}"/>
    <cellStyle name="Nota 2 2 7 11" xfId="762" xr:uid="{01323B4E-36C8-4AD7-931D-E4EDEB6F4DC6}"/>
    <cellStyle name="Nota 2 2 7 12" xfId="783" xr:uid="{43A9175A-EDF5-4764-A9C1-9F9E7F3A155E}"/>
    <cellStyle name="Nota 2 2 7 13" xfId="5763" xr:uid="{07789950-2437-4CCD-9C11-D5034C5CFB0D}"/>
    <cellStyle name="Nota 2 2 7 2" xfId="278" xr:uid="{FBF64281-83D3-4C15-BBF0-5EF1EBC553FF}"/>
    <cellStyle name="Nota 2 2 7 2 10" xfId="5597" xr:uid="{C5ABD4C0-C454-4767-BC13-F6A7C79B015E}"/>
    <cellStyle name="Nota 2 2 7 2 11" xfId="3270" xr:uid="{120242B5-5D01-4A03-B16B-E7A929EEF0FA}"/>
    <cellStyle name="Nota 2 2 7 2 2" xfId="648" xr:uid="{755572C7-6D25-48E1-9B1B-2DCCFF05FB13}"/>
    <cellStyle name="Nota 2 2 7 2 2 2" xfId="2106" xr:uid="{F67EEFBA-2674-4487-AC0D-198FEA4F7D45}"/>
    <cellStyle name="Nota 2 2 7 2 2 2 2" xfId="4420" xr:uid="{C4BE5280-A88E-48D5-9F0E-95164DD6CB71}"/>
    <cellStyle name="Nota 2 2 7 2 2 2 3" xfId="6453" xr:uid="{85BFC700-698B-48B9-A1D7-7AA6374613FE}"/>
    <cellStyle name="Nota 2 2 7 2 2 2 4" xfId="8015" xr:uid="{FF2A6C77-7287-491C-AB27-3BF5E3D39CA8}"/>
    <cellStyle name="Nota 2 2 7 2 2 3" xfId="2558" xr:uid="{8C6E8ED1-DB49-492E-B9FF-E408BF4F01AD}"/>
    <cellStyle name="Nota 2 2 7 2 2 3 2" xfId="4872" xr:uid="{84D5D7D8-8368-4A87-9DAD-7D1E1B6EA105}"/>
    <cellStyle name="Nota 2 2 7 2 2 3 3" xfId="6874" xr:uid="{948E00EA-E45A-4B9B-BDD9-4BE4FEAB9991}"/>
    <cellStyle name="Nota 2 2 7 2 2 3 4" xfId="8295" xr:uid="{542FD1BA-B44D-44B8-B94B-F3AEE3E6EACA}"/>
    <cellStyle name="Nota 2 2 7 2 2 4" xfId="2950" xr:uid="{591CC0D3-6ABE-4527-9144-ABD52CF99266}"/>
    <cellStyle name="Nota 2 2 7 2 2 4 2" xfId="5264" xr:uid="{6FDF481E-1DDF-4856-B0C3-A7B9705DEBBD}"/>
    <cellStyle name="Nota 2 2 7 2 2 4 3" xfId="7258" xr:uid="{367C21E3-53A5-4753-B672-070794E5B1CF}"/>
    <cellStyle name="Nota 2 2 7 2 2 4 4" xfId="8540" xr:uid="{71F5B62C-9E27-4409-97FD-7E66CCDE11D1}"/>
    <cellStyle name="Nota 2 2 7 2 2 5" xfId="3153" xr:uid="{A0CF9487-DFA6-4FE7-9B06-526BBC0588D7}"/>
    <cellStyle name="Nota 2 2 7 2 2 5 2" xfId="5467" xr:uid="{B0296FF7-C653-4E24-9C25-53A47C93C053}"/>
    <cellStyle name="Nota 2 2 7 2 2 5 3" xfId="7461" xr:uid="{707955D3-ECF4-456A-B0DE-A1C0FA590508}"/>
    <cellStyle name="Nota 2 2 7 2 2 5 4" xfId="8705" xr:uid="{6B74EBF3-AE4E-459C-B7D5-C31F800633EF}"/>
    <cellStyle name="Nota 2 2 7 2 2 6" xfId="1496" xr:uid="{7F99AE07-AD34-4314-8F22-F8B09C8DC081}"/>
    <cellStyle name="Nota 2 2 7 2 2 7" xfId="3812" xr:uid="{8EB7389E-D640-401C-A389-10EB05BCAE45}"/>
    <cellStyle name="Nota 2 2 7 2 2 8" xfId="5892" xr:uid="{CE471A84-CC60-4AC7-85D7-B931B039E76A}"/>
    <cellStyle name="Nota 2 2 7 2 2 9" xfId="7644" xr:uid="{5A39EBC9-38AB-4B7C-B810-473C9EB51970}"/>
    <cellStyle name="Nota 2 2 7 2 3" xfId="724" xr:uid="{02F89F98-7675-44BE-BA38-D4C8C2F8767C}"/>
    <cellStyle name="Nota 2 2 7 2 3 2" xfId="2182" xr:uid="{EEBB1964-13E3-4DD2-9007-24117A7954FE}"/>
    <cellStyle name="Nota 2 2 7 2 3 2 2" xfId="4496" xr:uid="{9BF13E80-D846-4FD2-94FF-DF24C0E1DBE7}"/>
    <cellStyle name="Nota 2 2 7 2 3 2 3" xfId="6518" xr:uid="{D08B11B8-C27B-4602-A56F-A878C04C0E4B}"/>
    <cellStyle name="Nota 2 2 7 2 3 2 4" xfId="8071" xr:uid="{FD5EABEB-4236-4998-9772-8C6E01474F2F}"/>
    <cellStyle name="Nota 2 2 7 2 3 3" xfId="2634" xr:uid="{29113E58-F877-41BE-AC1D-B9ACE6B69CB9}"/>
    <cellStyle name="Nota 2 2 7 2 3 3 2" xfId="4948" xr:uid="{6C148E84-DD05-488D-9296-32CA4CCDB16E}"/>
    <cellStyle name="Nota 2 2 7 2 3 3 3" xfId="6942" xr:uid="{663E5D8D-A4E1-4B1B-8833-4A2A4F9A0BA7}"/>
    <cellStyle name="Nota 2 2 7 2 3 3 4" xfId="8351" xr:uid="{1819D80C-8D7D-4A76-9233-454528DF01F1}"/>
    <cellStyle name="Nota 2 2 7 2 3 4" xfId="3009" xr:uid="{27B29568-FE1B-4EEF-8EAD-5FAE123AFE8F}"/>
    <cellStyle name="Nota 2 2 7 2 3 4 2" xfId="5323" xr:uid="{45F10053-B385-46D9-8E45-7176365F1AD0}"/>
    <cellStyle name="Nota 2 2 7 2 3 4 3" xfId="7317" xr:uid="{EAC07A90-0E9F-491F-9663-D9A61C06A4F3}"/>
    <cellStyle name="Nota 2 2 7 2 3 4 4" xfId="8579" xr:uid="{46B65598-4502-4B54-8469-D8FCD1BFE8D2}"/>
    <cellStyle name="Nota 2 2 7 2 3 5" xfId="3191" xr:uid="{A415E425-4D4B-4075-AA66-9C469D2DB9FC}"/>
    <cellStyle name="Nota 2 2 7 2 3 5 2" xfId="5505" xr:uid="{A7C95538-5778-44F8-B798-B5F3ED39D79B}"/>
    <cellStyle name="Nota 2 2 7 2 3 5 3" xfId="7499" xr:uid="{6E8F505F-7365-4720-8C86-9CF604FD93A1}"/>
    <cellStyle name="Nota 2 2 7 2 3 5 4" xfId="8743" xr:uid="{09120122-95F4-4DEC-A1ED-B967735CFB84}"/>
    <cellStyle name="Nota 2 2 7 2 3 6" xfId="1572" xr:uid="{5A627C54-11D8-4A21-84D9-65059C423046}"/>
    <cellStyle name="Nota 2 2 7 2 3 7" xfId="3888" xr:uid="{960F4A61-7D34-480E-AE35-E6AF10FD23F1}"/>
    <cellStyle name="Nota 2 2 7 2 3 8" xfId="5955" xr:uid="{9E284F1C-81C4-4F75-84CC-1364F8FC1B78}"/>
    <cellStyle name="Nota 2 2 7 2 3 9" xfId="7700" xr:uid="{75B98F2A-D16E-4CCE-B5A9-2BF9F6FBECBA}"/>
    <cellStyle name="Nota 2 2 7 2 4" xfId="1772" xr:uid="{14108F03-97EC-44F0-8C1E-AA57F8DB71A9}"/>
    <cellStyle name="Nota 2 2 7 2 4 2" xfId="4086" xr:uid="{533773AC-982A-4251-B078-0CE3FD1E5A50}"/>
    <cellStyle name="Nota 2 2 7 2 4 3" xfId="6135" xr:uid="{2CF02D4F-2A9F-477D-8693-83433611780F}"/>
    <cellStyle name="Nota 2 2 7 2 4 4" xfId="7817" xr:uid="{E2638177-F97A-4CCF-9F15-6423067971CE}"/>
    <cellStyle name="Nota 2 2 7 2 5" xfId="2233" xr:uid="{63B16961-7958-4F98-8B9B-B016B0131456}"/>
    <cellStyle name="Nota 2 2 7 2 5 2" xfId="4547" xr:uid="{83A1E4D6-9F48-4AEB-BDF0-F2A9EF311DF7}"/>
    <cellStyle name="Nota 2 2 7 2 5 3" xfId="6569" xr:uid="{A6629C03-016D-404E-99FB-67DA5D5852D0}"/>
    <cellStyle name="Nota 2 2 7 2 5 4" xfId="8100" xr:uid="{B7C418B9-E2AA-4420-B709-E879E8D2D7CA}"/>
    <cellStyle name="Nota 2 2 7 2 6" xfId="2679" xr:uid="{61D07457-D68F-4819-AC68-9B4CDD4DC4F3}"/>
    <cellStyle name="Nota 2 2 7 2 6 2" xfId="4993" xr:uid="{FC59621E-81EC-4D4A-ABD2-687251F048CD}"/>
    <cellStyle name="Nota 2 2 7 2 6 3" xfId="6987" xr:uid="{50F41BC3-6A18-4C22-90EB-89653A46B327}"/>
    <cellStyle name="Nota 2 2 7 2 6 4" xfId="8378" xr:uid="{9FEFBA36-080F-42B1-8146-FA1786590FF4}"/>
    <cellStyle name="Nota 2 2 7 2 7" xfId="2225" xr:uid="{F78F1849-50D7-4737-B64A-CC339A8A6280}"/>
    <cellStyle name="Nota 2 2 7 2 7 2" xfId="4539" xr:uid="{701D1E1F-BCCB-4C67-A5D4-152571AA3B51}"/>
    <cellStyle name="Nota 2 2 7 2 7 3" xfId="6561" xr:uid="{7180A92A-FBCF-45EA-BDC9-FC8B81369D14}"/>
    <cellStyle name="Nota 2 2 7 2 7 4" xfId="8094" xr:uid="{BE03C5A3-D72C-47C3-BC94-24D62E927CB2}"/>
    <cellStyle name="Nota 2 2 7 2 8" xfId="1126" xr:uid="{F33A9B48-6A60-4CD8-8D93-4778A2E3A1AC}"/>
    <cellStyle name="Nota 2 2 7 2 9" xfId="3477" xr:uid="{849A2812-F4CB-449E-8111-BEB769D66C20}"/>
    <cellStyle name="Nota 2 2 7 3" xfId="450" xr:uid="{194815B4-5942-4DCE-901F-071BC9708FFB}"/>
    <cellStyle name="Nota 2 2 7 3 2" xfId="1919" xr:uid="{7E02ADCF-D069-46BE-B8EC-979B7A9567F8}"/>
    <cellStyle name="Nota 2 2 7 3 2 2" xfId="4233" xr:uid="{3FE6C57A-81EC-4338-876C-3D1F3977A0B6}"/>
    <cellStyle name="Nota 2 2 7 3 2 3" xfId="6278" xr:uid="{89AFCF50-D84B-46C9-8102-12C32A4D0C95}"/>
    <cellStyle name="Nota 2 2 7 3 2 4" xfId="7902" xr:uid="{489DAF35-F226-47D3-8DC4-ADEBFD871E3B}"/>
    <cellStyle name="Nota 2 2 7 3 3" xfId="2375" xr:uid="{D48D82AE-E26C-40B9-AC17-682F829AD5B5}"/>
    <cellStyle name="Nota 2 2 7 3 3 2" xfId="4689" xr:uid="{3EEE5960-8A5E-4AE2-A5DD-73C909520008}"/>
    <cellStyle name="Nota 2 2 7 3 3 3" xfId="6702" xr:uid="{544236FE-4608-4B4E-B3E4-A079A1E67FD6}"/>
    <cellStyle name="Nota 2 2 7 3 3 4" xfId="8184" xr:uid="{52AD2CD2-5DEC-432F-86F4-FDEF041F6721}"/>
    <cellStyle name="Nota 2 2 7 3 4" xfId="2786" xr:uid="{9D2056D5-B3D5-4D4B-B5EF-C9E51105454F}"/>
    <cellStyle name="Nota 2 2 7 3 4 2" xfId="5100" xr:uid="{23D3B035-6D9A-4237-9871-ECE0D70C02DB}"/>
    <cellStyle name="Nota 2 2 7 3 4 3" xfId="7094" xr:uid="{CA3C6DBC-11F7-4EF7-BF0C-91AE7C828F53}"/>
    <cellStyle name="Nota 2 2 7 3 4 4" xfId="8448" xr:uid="{D1DBDABE-ED60-4CDC-8784-B1658729DF75}"/>
    <cellStyle name="Nota 2 2 7 3 5" xfId="3070" xr:uid="{1760E662-1713-4293-98FC-497B215221EF}"/>
    <cellStyle name="Nota 2 2 7 3 5 2" xfId="5384" xr:uid="{9E7A95B0-C510-45AA-BFC5-50D2EEE88F06}"/>
    <cellStyle name="Nota 2 2 7 3 5 3" xfId="7378" xr:uid="{4DD3CADB-1C8E-498D-8C86-0B8B60B4AB7F}"/>
    <cellStyle name="Nota 2 2 7 3 5 4" xfId="8622" xr:uid="{46C99E53-0D1B-46E0-A30D-B0A17D3F6A31}"/>
    <cellStyle name="Nota 2 2 7 3 6" xfId="1298" xr:uid="{A43CA995-8309-43C8-8307-7D5CECFFCF5B}"/>
    <cellStyle name="Nota 2 2 7 3 7" xfId="3623" xr:uid="{74144A02-1783-4509-BF6D-2F60D1EA5FAB}"/>
    <cellStyle name="Nota 2 2 7 3 8" xfId="5722" xr:uid="{1A8EB60B-87F5-4E06-B9F0-B9E18C3BA10D}"/>
    <cellStyle name="Nota 2 2 7 3 9" xfId="7540" xr:uid="{80E11CE0-16EE-48FA-B4C5-CBB1945049DC}"/>
    <cellStyle name="Nota 2 2 7 4" xfId="584" xr:uid="{B01AFDB6-C3EE-4EE8-BFE0-526CC547B22C}"/>
    <cellStyle name="Nota 2 2 7 4 2" xfId="2042" xr:uid="{2151AE4F-188D-454C-826F-B889F8C619AE}"/>
    <cellStyle name="Nota 2 2 7 4 2 2" xfId="4356" xr:uid="{564B6832-DF6A-4232-88A9-1347FBCC331F}"/>
    <cellStyle name="Nota 2 2 7 4 2 3" xfId="6397" xr:uid="{5A8985F3-0546-4E4D-929A-142DE1209AE9}"/>
    <cellStyle name="Nota 2 2 7 4 2 4" xfId="7966" xr:uid="{7C4E164D-8A8C-44AB-888D-5F0CE3ECD5C7}"/>
    <cellStyle name="Nota 2 2 7 4 3" xfId="2494" xr:uid="{5B758459-415F-4B38-A507-78B5E720842C}"/>
    <cellStyle name="Nota 2 2 7 4 3 2" xfId="4808" xr:uid="{BD45697E-FC95-4A36-BB98-FA11BFDAB1CD}"/>
    <cellStyle name="Nota 2 2 7 4 3 3" xfId="6818" xr:uid="{C5DF5070-41C0-4059-87FB-D03B69F5622B}"/>
    <cellStyle name="Nota 2 2 7 4 3 4" xfId="8246" xr:uid="{7BEC6364-6BE4-4BB3-8BAE-5BD7BD0E9470}"/>
    <cellStyle name="Nota 2 2 7 4 4" xfId="2899" xr:uid="{C86788A8-AFC1-45B0-9788-0B3F060F02EC}"/>
    <cellStyle name="Nota 2 2 7 4 4 2" xfId="5213" xr:uid="{BCFBECDF-F7FF-45B3-A0A9-2FC753EA0A8E}"/>
    <cellStyle name="Nota 2 2 7 4 4 3" xfId="7207" xr:uid="{267C7D38-2481-48DA-A04A-7DE0527E78EC}"/>
    <cellStyle name="Nota 2 2 7 4 4 4" xfId="8504" xr:uid="{A2867853-6D69-4E6B-B03D-CC99F38B7505}"/>
    <cellStyle name="Nota 2 2 7 4 5" xfId="3118" xr:uid="{F3204532-C630-4141-8A82-20260350CB50}"/>
    <cellStyle name="Nota 2 2 7 4 5 2" xfId="5432" xr:uid="{CF60BAC8-70D7-4B0C-9684-44768AEABBF9}"/>
    <cellStyle name="Nota 2 2 7 4 5 3" xfId="7426" xr:uid="{4CD11BC0-6302-4AC4-AA19-52BC697DBE85}"/>
    <cellStyle name="Nota 2 2 7 4 5 4" xfId="8670" xr:uid="{08140B53-DCF6-406D-A195-E4AE834C902E}"/>
    <cellStyle name="Nota 2 2 7 4 6" xfId="1432" xr:uid="{386E4CE7-8425-4633-8138-6966289C4D56}"/>
    <cellStyle name="Nota 2 2 7 4 7" xfId="3748" xr:uid="{80B5F290-0742-4514-A23E-159504E77D15}"/>
    <cellStyle name="Nota 2 2 7 4 8" xfId="5838" xr:uid="{DC1B42DB-22A7-44A4-991D-23F505A20B57}"/>
    <cellStyle name="Nota 2 2 7 4 9" xfId="7595" xr:uid="{D0C2BA15-1E9B-4BAD-888E-A22F6CFA31BB}"/>
    <cellStyle name="Nota 2 2 7 5" xfId="649" xr:uid="{1F4FF1D0-48DD-43F4-99C4-672315D3C109}"/>
    <cellStyle name="Nota 2 2 7 5 2" xfId="2107" xr:uid="{7111A283-8301-4908-822C-EAA137336B76}"/>
    <cellStyle name="Nota 2 2 7 5 2 2" xfId="4421" xr:uid="{AB2999D8-A7A3-4311-ABF4-5599A488A35B}"/>
    <cellStyle name="Nota 2 2 7 5 2 3" xfId="6454" xr:uid="{DA88C4CC-1FF6-4117-8DB8-FC6C2BE617B6}"/>
    <cellStyle name="Nota 2 2 7 5 2 4" xfId="8016" xr:uid="{48FE7F22-0279-4B21-B437-CC2C351DC23E}"/>
    <cellStyle name="Nota 2 2 7 5 3" xfId="2559" xr:uid="{26CD2C4A-578C-48CA-B9A7-5B84F43B02EC}"/>
    <cellStyle name="Nota 2 2 7 5 3 2" xfId="4873" xr:uid="{F0BD303C-A038-4149-8E01-3D130A9CFBEF}"/>
    <cellStyle name="Nota 2 2 7 5 3 3" xfId="6875" xr:uid="{0A02B82E-7D7F-4D73-B6AC-8A4C27861E39}"/>
    <cellStyle name="Nota 2 2 7 5 3 4" xfId="8296" xr:uid="{551DE9ED-9684-476A-A78B-EDC48C1B13B6}"/>
    <cellStyle name="Nota 2 2 7 5 4" xfId="2951" xr:uid="{91749ED3-69E8-4BA0-B391-90C74F124D53}"/>
    <cellStyle name="Nota 2 2 7 5 4 2" xfId="5265" xr:uid="{45CBDDF3-5862-4858-9D3F-116D035290F1}"/>
    <cellStyle name="Nota 2 2 7 5 4 3" xfId="7259" xr:uid="{89F0E4C3-DB30-4498-A572-B99A9A62AAF1}"/>
    <cellStyle name="Nota 2 2 7 5 4 4" xfId="8541" xr:uid="{1226904E-D6CE-4E78-A2AA-131921A08284}"/>
    <cellStyle name="Nota 2 2 7 5 5" xfId="3154" xr:uid="{669B3D12-06E0-4604-B374-CA9F94E53237}"/>
    <cellStyle name="Nota 2 2 7 5 5 2" xfId="5468" xr:uid="{B1A15BD1-3E07-489C-B67D-17EE569D4DE1}"/>
    <cellStyle name="Nota 2 2 7 5 5 3" xfId="7462" xr:uid="{57141BA4-FEB4-4786-B229-9D60E9C79BD6}"/>
    <cellStyle name="Nota 2 2 7 5 5 4" xfId="8706" xr:uid="{6B7DFCB5-8CA9-4E62-B402-EFD868143049}"/>
    <cellStyle name="Nota 2 2 7 5 6" xfId="1497" xr:uid="{C115317B-F3CF-4694-848B-3883292ACE5D}"/>
    <cellStyle name="Nota 2 2 7 5 7" xfId="3813" xr:uid="{E804CBC7-40BB-4C8E-871E-879A70DD7D66}"/>
    <cellStyle name="Nota 2 2 7 5 8" xfId="5893" xr:uid="{5D099F5A-FD5F-4221-B65A-1F5B41913565}"/>
    <cellStyle name="Nota 2 2 7 5 9" xfId="7645" xr:uid="{BA4AA567-0700-441D-972E-583220C66C86}"/>
    <cellStyle name="Nota 2 2 7 6" xfId="989" xr:uid="{62D4B1A7-2F95-419D-BFC3-AF6908EED18E}"/>
    <cellStyle name="Nota 2 2 7 6 2" xfId="3362" xr:uid="{8F5E699A-7F76-4E8F-9B8C-887A0676682F}"/>
    <cellStyle name="Nota 2 2 7 6 3" xfId="3412" xr:uid="{8EC8FB95-910E-4303-8C8A-700C4E9DA0E7}"/>
    <cellStyle name="Nota 2 2 7 6 4" xfId="3360" xr:uid="{EAD91FED-AFD0-49CA-808E-30543F74315B}"/>
    <cellStyle name="Nota 2 2 7 7" xfId="1673" xr:uid="{CEA2DB3F-FF1D-4EF5-BCBE-490755C428BE}"/>
    <cellStyle name="Nota 2 2 7 7 2" xfId="3987" xr:uid="{BD5198B2-3DE3-4E99-99CD-A332A6D38F5D}"/>
    <cellStyle name="Nota 2 2 7 7 3" xfId="6043" xr:uid="{A36E6843-C2E4-4D2A-A15E-4962A066D8C2}"/>
    <cellStyle name="Nota 2 2 7 7 4" xfId="7757" xr:uid="{B4F5B522-1684-4F28-A8E6-B73DA1E3C8C6}"/>
    <cellStyle name="Nota 2 2 7 8" xfId="903" xr:uid="{00344476-90F4-4BB2-9EB3-B1AE9D0CC11C}"/>
    <cellStyle name="Nota 2 2 7 8 2" xfId="3286" xr:uid="{1584310F-0E1E-4394-ACD0-BB39F7A03F37}"/>
    <cellStyle name="Nota 2 2 7 8 3" xfId="3265" xr:uid="{7107C23C-5E91-4314-9C0E-32172BB1F58E}"/>
    <cellStyle name="Nota 2 2 7 8 4" xfId="6905" xr:uid="{C20F0251-D87F-4283-81A1-D2547767A637}"/>
    <cellStyle name="Nota 2 2 7 9" xfId="2698" xr:uid="{DF16AF78-A64B-4120-98C0-819F94F86CD7}"/>
    <cellStyle name="Nota 2 2 7 9 2" xfId="5012" xr:uid="{67FA1ACA-9789-49B8-BCAA-D70083C97D10}"/>
    <cellStyle name="Nota 2 2 7 9 3" xfId="7006" xr:uid="{60C90E12-3618-46D3-9A4A-E91EA335E83F}"/>
    <cellStyle name="Nota 2 2 7 9 4" xfId="8397" xr:uid="{C9FEF1D1-4A63-4CF4-B016-0B204668FA74}"/>
    <cellStyle name="Nota 2 2 8" xfId="208" xr:uid="{D714AA91-5B15-42D7-855F-55BF0ECC1E53}"/>
    <cellStyle name="Nota 2 2 8 10" xfId="3266" xr:uid="{B23ADB7E-525C-4CD2-A586-60DB7A20F7A4}"/>
    <cellStyle name="Nota 2 2 8 11" xfId="3446" xr:uid="{87964B63-0061-4E75-9933-B7FB9433713C}"/>
    <cellStyle name="Nota 2 2 8 12" xfId="6469" xr:uid="{2ABB21D5-0AE1-43DF-8A85-45D44999AD84}"/>
    <cellStyle name="Nota 2 2 8 2" xfId="609" xr:uid="{501B99BB-EE53-46C7-939C-81D837CC6E07}"/>
    <cellStyle name="Nota 2 2 8 2 2" xfId="2067" xr:uid="{7EA11441-9723-4FE0-8EB6-895189186D03}"/>
    <cellStyle name="Nota 2 2 8 2 2 2" xfId="4381" xr:uid="{B426CFB2-70D1-4560-9EAD-7D6DD9B39E0C}"/>
    <cellStyle name="Nota 2 2 8 2 2 3" xfId="6421" xr:uid="{36168F2D-65AB-4DE9-9787-B62625D1966D}"/>
    <cellStyle name="Nota 2 2 8 2 2 4" xfId="7979" xr:uid="{2F80385A-A106-457C-A053-AFB8FF0091DE}"/>
    <cellStyle name="Nota 2 2 8 2 3" xfId="2519" xr:uid="{E381BC4A-BEA7-4224-80BB-D406D811BB7B}"/>
    <cellStyle name="Nota 2 2 8 2 3 2" xfId="4833" xr:uid="{1B4F3452-EE91-4C06-B63B-58CDD0569D7C}"/>
    <cellStyle name="Nota 2 2 8 2 3 3" xfId="6842" xr:uid="{09778364-BDBB-4C3E-BEA2-7EC0A94A0D9C}"/>
    <cellStyle name="Nota 2 2 8 2 3 4" xfId="8259" xr:uid="{DA3C7B26-5392-45EE-96B9-ADA8184DE760}"/>
    <cellStyle name="Nota 2 2 8 2 4" xfId="2922" xr:uid="{807586C8-21D6-47FE-A6B7-E34088785DC7}"/>
    <cellStyle name="Nota 2 2 8 2 4 2" xfId="5236" xr:uid="{7B35B098-7413-4D6D-A536-17F22569155D}"/>
    <cellStyle name="Nota 2 2 8 2 4 3" xfId="7230" xr:uid="{A8BA809C-4BFE-40F7-9A59-B3A60E2956DE}"/>
    <cellStyle name="Nota 2 2 8 2 4 4" xfId="8515" xr:uid="{13552F9D-9274-4FE0-BD22-B14B7EDD60E4}"/>
    <cellStyle name="Nota 2 2 8 2 5" xfId="3129" xr:uid="{61966958-8FC2-42BC-8544-459179048BFE}"/>
    <cellStyle name="Nota 2 2 8 2 5 2" xfId="5443" xr:uid="{B386BC63-4E49-435A-9F4C-08203C087779}"/>
    <cellStyle name="Nota 2 2 8 2 5 3" xfId="7437" xr:uid="{2CEE5229-7863-4A8D-B157-7F18CE87DA20}"/>
    <cellStyle name="Nota 2 2 8 2 5 4" xfId="8681" xr:uid="{79D06151-50F1-448C-ABFA-9D716D78FC1E}"/>
    <cellStyle name="Nota 2 2 8 2 6" xfId="1457" xr:uid="{F8DA9169-AC5D-4AD3-947B-981D4CA51D98}"/>
    <cellStyle name="Nota 2 2 8 2 7" xfId="3773" xr:uid="{27D6D7B6-756F-4B73-9C33-F31B0D95E570}"/>
    <cellStyle name="Nota 2 2 8 2 8" xfId="5862" xr:uid="{FB6E0F09-F226-4CEC-8B25-32E4FAA1D766}"/>
    <cellStyle name="Nota 2 2 8 2 9" xfId="7608" xr:uid="{D778FBA5-9DA7-409B-BA28-3C3A7DD87AEE}"/>
    <cellStyle name="Nota 2 2 8 3" xfId="453" xr:uid="{10165CAE-24A0-4A80-B36B-B84D23FB4C68}"/>
    <cellStyle name="Nota 2 2 8 3 2" xfId="1922" xr:uid="{95E669F0-C359-4980-BEA3-868B61427C65}"/>
    <cellStyle name="Nota 2 2 8 3 2 2" xfId="4236" xr:uid="{DB857625-836A-44B0-9EEB-0CDF4DAF79E9}"/>
    <cellStyle name="Nota 2 2 8 3 2 3" xfId="6281" xr:uid="{C2000FBD-E546-496E-A494-CAC01A91B5B4}"/>
    <cellStyle name="Nota 2 2 8 3 2 4" xfId="7904" xr:uid="{498A16BC-D59A-4CBD-94E5-7F58E32FA1E2}"/>
    <cellStyle name="Nota 2 2 8 3 3" xfId="2377" xr:uid="{21AA1B0F-4464-4D64-995B-86675DC88F41}"/>
    <cellStyle name="Nota 2 2 8 3 3 2" xfId="4691" xr:uid="{EE49CFC3-1CA3-401B-A1C4-1E295002E481}"/>
    <cellStyle name="Nota 2 2 8 3 3 3" xfId="6704" xr:uid="{4670F75B-91C7-414D-806F-8A70483382B6}"/>
    <cellStyle name="Nota 2 2 8 3 3 4" xfId="8185" xr:uid="{1D47E014-B962-41B5-A53B-A516620B8AD2}"/>
    <cellStyle name="Nota 2 2 8 3 4" xfId="2788" xr:uid="{51B78DA9-AD84-4804-8CC5-B2C6BE00F1E5}"/>
    <cellStyle name="Nota 2 2 8 3 4 2" xfId="5102" xr:uid="{D802E6E1-7030-4025-887E-97D650D9D6A5}"/>
    <cellStyle name="Nota 2 2 8 3 4 3" xfId="7096" xr:uid="{7D9C0017-3970-4F1D-A3E9-533BAFBD2BA4}"/>
    <cellStyle name="Nota 2 2 8 3 4 4" xfId="8449" xr:uid="{6DC8D691-DCDD-4D98-8818-537529DA1940}"/>
    <cellStyle name="Nota 2 2 8 3 5" xfId="3071" xr:uid="{9ABC17B7-745E-4B99-ADB4-CFFE11A63639}"/>
    <cellStyle name="Nota 2 2 8 3 5 2" xfId="5385" xr:uid="{88D139D9-430D-4967-AA10-D69CFE543723}"/>
    <cellStyle name="Nota 2 2 8 3 5 3" xfId="7379" xr:uid="{2B83C2F4-E4D0-4C10-9CA6-3EFA47A9F9AD}"/>
    <cellStyle name="Nota 2 2 8 3 5 4" xfId="8623" xr:uid="{9DD7C71B-16C1-4CDF-901E-0BA9B90ACAE8}"/>
    <cellStyle name="Nota 2 2 8 3 6" xfId="1301" xr:uid="{135BB223-E70A-4689-8379-EFF7AFD21951}"/>
    <cellStyle name="Nota 2 2 8 3 7" xfId="3626" xr:uid="{D49603E4-7ADD-400F-9778-16F3ECD691B7}"/>
    <cellStyle name="Nota 2 2 8 3 8" xfId="5725" xr:uid="{2BBC2ECF-DC65-46C7-8FAF-167B8EA19857}"/>
    <cellStyle name="Nota 2 2 8 3 9" xfId="7541" xr:uid="{CE1A3825-DCE6-4A0A-9FB9-43BC2BDAEF0A}"/>
    <cellStyle name="Nota 2 2 8 4" xfId="1056" xr:uid="{0BCC2415-A235-44F0-A6DF-8071ED5B7D64}"/>
    <cellStyle name="Nota 2 2 8 4 2" xfId="3416" xr:uid="{FBC967EF-83FF-4B39-9982-5F528C4BC5B0}"/>
    <cellStyle name="Nota 2 2 8 4 3" xfId="5552" xr:uid="{6C1EB64C-1082-45ED-9425-38B287538A75}"/>
    <cellStyle name="Nota 2 2 8 4 4" xfId="5761" xr:uid="{4973882A-D051-4546-977D-639AD675652F}"/>
    <cellStyle name="Nota 2 2 8 5" xfId="1716" xr:uid="{B017E1CE-0054-46E5-B684-538D094C2320}"/>
    <cellStyle name="Nota 2 2 8 5 2" xfId="4030" xr:uid="{AF591D83-78A6-4CF2-ADDA-6C7C38B4579F}"/>
    <cellStyle name="Nota 2 2 8 5 3" xfId="6084" xr:uid="{39666A49-D07F-4B61-8F72-B66F85522DC7}"/>
    <cellStyle name="Nota 2 2 8 5 4" xfId="7779" xr:uid="{9DF98388-C527-46D5-B046-FAA1C7EE4FEA}"/>
    <cellStyle name="Nota 2 2 8 6" xfId="1939" xr:uid="{FCDC838A-096E-4FD7-9BD7-6A8926422EA3}"/>
    <cellStyle name="Nota 2 2 8 6 2" xfId="4253" xr:uid="{F52158B0-A793-4242-8639-EED36E119153}"/>
    <cellStyle name="Nota 2 2 8 6 3" xfId="6298" xr:uid="{ABAC1CFA-3D45-4FC6-A20F-DCD582F4E39B}"/>
    <cellStyle name="Nota 2 2 8 6 4" xfId="7914" xr:uid="{B8DA4C7C-6C97-4759-AEBD-BB8C5BC4D015}"/>
    <cellStyle name="Nota 2 2 8 7" xfId="2369" xr:uid="{00701596-6C1D-49B7-8543-4B01D9A405B6}"/>
    <cellStyle name="Nota 2 2 8 7 2" xfId="4683" xr:uid="{41BF43EA-FC70-4429-BA47-32EB41A00D4F}"/>
    <cellStyle name="Nota 2 2 8 7 3" xfId="6696" xr:uid="{BE441100-D6F7-4DBE-A5B4-B5CD7528925C}"/>
    <cellStyle name="Nota 2 2 8 7 4" xfId="8180" xr:uid="{E252A87B-AD89-48E7-8538-655F13BDF5FE}"/>
    <cellStyle name="Nota 2 2 8 8" xfId="1632" xr:uid="{E7953ACF-3ABE-4E47-BCA3-82B37A6C4C1F}"/>
    <cellStyle name="Nota 2 2 8 8 2" xfId="3946" xr:uid="{51DCBD79-80B2-4571-B67C-0D5395245E1B}"/>
    <cellStyle name="Nota 2 2 8 8 3" xfId="6006" xr:uid="{3290A5A5-70B6-422D-A43A-8CFFAF138332}"/>
    <cellStyle name="Nota 2 2 8 8 4" xfId="7729" xr:uid="{B97564E0-9822-4503-8E2F-55300A0A5D54}"/>
    <cellStyle name="Nota 2 2 8 9" xfId="882" xr:uid="{A3D7B651-4E9F-4C5B-AC16-E765E475B794}"/>
    <cellStyle name="Nota 2 2 9" xfId="376" xr:uid="{EDB2B124-275D-4E3A-9398-AF8C7893467F}"/>
    <cellStyle name="Nota 2 2 9 2" xfId="1859" xr:uid="{9C8C69E0-B834-437C-8BC0-1976863A609A}"/>
    <cellStyle name="Nota 2 2 9 2 2" xfId="4173" xr:uid="{C365914D-D75E-4B15-86A4-DDAAE5B8BC81}"/>
    <cellStyle name="Nota 2 2 9 2 3" xfId="6221" xr:uid="{A4AE861E-3389-4828-B6AB-1DE796107F68}"/>
    <cellStyle name="Nota 2 2 9 2 4" xfId="7860" xr:uid="{BE743BE2-D77E-4A1E-ACFA-D1B62DF01A59}"/>
    <cellStyle name="Nota 2 2 9 3" xfId="2316" xr:uid="{842BF006-A4E9-49D4-B355-D8054B94D41E}"/>
    <cellStyle name="Nota 2 2 9 3 2" xfId="4630" xr:uid="{6D1D61AA-9D6C-4975-93CA-E541279338DE}"/>
    <cellStyle name="Nota 2 2 9 3 3" xfId="6650" xr:uid="{38C626F7-1E4F-441E-B304-ABE36C0D9649}"/>
    <cellStyle name="Nota 2 2 9 3 4" xfId="8143" xr:uid="{2DC48D6D-3BFF-4F2B-94DD-5CD8743A3E7B}"/>
    <cellStyle name="Nota 2 2 9 4" xfId="2739" xr:uid="{28B4614A-A01D-4C5B-B191-46236E0C48AD}"/>
    <cellStyle name="Nota 2 2 9 4 2" xfId="5053" xr:uid="{96A6FBFE-9938-4211-9D7B-1C5322482BD3}"/>
    <cellStyle name="Nota 2 2 9 4 3" xfId="7047" xr:uid="{730CCC9D-D4C8-4B66-9469-C318811F25C4}"/>
    <cellStyle name="Nota 2 2 9 4 4" xfId="8417" xr:uid="{961C8EC9-D75F-432D-80B1-12E46F391A32}"/>
    <cellStyle name="Nota 2 2 9 5" xfId="2327" xr:uid="{66347974-AA56-4D01-AB50-1F9B643DE7F7}"/>
    <cellStyle name="Nota 2 2 9 5 2" xfId="4641" xr:uid="{C6A173AF-F3BB-44CC-AAB4-557833049FEA}"/>
    <cellStyle name="Nota 2 2 9 5 3" xfId="6660" xr:uid="{81AC2CCD-3D58-4965-8D4E-8A1E56454135}"/>
    <cellStyle name="Nota 2 2 9 5 4" xfId="8151" xr:uid="{5AA89F38-5934-4D4E-9A6A-DFA8D2D82715}"/>
    <cellStyle name="Nota 2 2 9 6" xfId="1224" xr:uid="{5A13C535-C3E5-4CD6-BE6F-63DDA3E38215}"/>
    <cellStyle name="Nota 2 2 9 7" xfId="3559" xr:uid="{62AB0D08-CF4F-479D-AF51-13EE397D073E}"/>
    <cellStyle name="Nota 2 2 9 8" xfId="5676" xr:uid="{F964EBCE-554D-44CC-AA34-B20CF2619330}"/>
    <cellStyle name="Nota 2 2 9 9" xfId="3301" xr:uid="{8BBC7789-AC79-42CD-BC44-4A2CD65C4B30}"/>
    <cellStyle name="Nota 2 3" xfId="46" xr:uid="{00000000-0005-0000-0000-00002F000000}"/>
    <cellStyle name="Nota 2 3 10" xfId="3561" xr:uid="{ADCC2167-FC1C-44F5-AB28-1333B3B07398}"/>
    <cellStyle name="Nota 2 3 2" xfId="105" xr:uid="{DF7EFF6D-EBE9-4C78-BE8F-E2E18F9B9A2E}"/>
    <cellStyle name="Nota 2 3 2 10" xfId="1693" xr:uid="{C8141514-0C26-46B8-91D6-72564197043E}"/>
    <cellStyle name="Nota 2 3 2 10 2" xfId="4007" xr:uid="{21F932DF-D43A-451F-BBA5-A858ED6C249B}"/>
    <cellStyle name="Nota 2 3 2 10 3" xfId="6062" xr:uid="{CF3AA38E-65B5-47D5-96FF-3E3820718A97}"/>
    <cellStyle name="Nota 2 3 2 10 4" xfId="7769" xr:uid="{C1745F52-D402-454E-BCEE-78680B4D35B5}"/>
    <cellStyle name="Nota 2 3 2 11" xfId="855" xr:uid="{0292337C-733E-45FF-818E-88B0F988F4D8}"/>
    <cellStyle name="Nota 2 3 2 12" xfId="3244" xr:uid="{51FC79B1-A61F-426C-8DD1-58F5ED0E6D07}"/>
    <cellStyle name="Nota 2 3 2 13" xfId="6220" xr:uid="{7CCE3DE9-7491-4B8D-812C-BDCD1EECB6C7}"/>
    <cellStyle name="Nota 2 3 2 2" xfId="177" xr:uid="{5A71DA7A-9259-4220-860D-327ECEB2D9F0}"/>
    <cellStyle name="Nota 2 3 2 2 2" xfId="314" xr:uid="{24B4F777-0D2D-432B-8372-32784BD93FCE}"/>
    <cellStyle name="Nota 2 3 2 2 2 10" xfId="5625" xr:uid="{2A23E926-D06C-41BF-B720-9706D9AAC394}"/>
    <cellStyle name="Nota 2 3 2 2 2 11" xfId="5592" xr:uid="{CE0AEED3-3B3A-4AD7-B894-44A381E5C764}"/>
    <cellStyle name="Nota 2 3 2 2 2 2" xfId="673" xr:uid="{55A7F234-CCB5-4677-A6C0-C3D3A41C3A2E}"/>
    <cellStyle name="Nota 2 3 2 2 2 2 2" xfId="2131" xr:uid="{EE357140-4EDD-4223-ABAA-997B846B22F5}"/>
    <cellStyle name="Nota 2 3 2 2 2 2 2 2" xfId="4445" xr:uid="{A685C53A-36A1-4724-A9CD-4F7D1FE59D82}"/>
    <cellStyle name="Nota 2 3 2 2 2 2 2 3" xfId="6472" xr:uid="{D8DAC89B-AC0E-4DA3-A652-E012F7F7E75D}"/>
    <cellStyle name="Nota 2 3 2 2 2 2 2 4" xfId="8039" xr:uid="{4C870B7C-2A39-4FA6-BED5-EDB5CDBC8709}"/>
    <cellStyle name="Nota 2 3 2 2 2 2 3" xfId="2583" xr:uid="{B1327B86-7A27-4242-9186-2DC60DF934D6}"/>
    <cellStyle name="Nota 2 3 2 2 2 2 3 2" xfId="4897" xr:uid="{3972AC64-27C2-415E-BAF7-86D2FB34FB12}"/>
    <cellStyle name="Nota 2 3 2 2 2 2 3 3" xfId="6894" xr:uid="{297C9F47-9055-4E3A-91E3-D3C9D279AE56}"/>
    <cellStyle name="Nota 2 3 2 2 2 2 3 4" xfId="8319" xr:uid="{5F18969D-F9DC-4815-B265-C60C93DA917E}"/>
    <cellStyle name="Nota 2 3 2 2 2 2 4" xfId="2966" xr:uid="{2767CB4B-7B37-44D3-806D-60CC42F5C424}"/>
    <cellStyle name="Nota 2 3 2 2 2 2 4 2" xfId="5280" xr:uid="{00BD68E1-7CA2-49E2-ABAA-E148CB05ED66}"/>
    <cellStyle name="Nota 2 3 2 2 2 2 4 3" xfId="7274" xr:uid="{BC0962E9-F66D-4FFB-8DE7-0005EEFDE8CB}"/>
    <cellStyle name="Nota 2 3 2 2 2 2 4 4" xfId="8555" xr:uid="{5C5EAADC-97F9-4D2E-A9A1-A54B74BCB139}"/>
    <cellStyle name="Nota 2 3 2 2 2 2 5" xfId="3167" xr:uid="{C6F9AB58-2614-4DF2-9497-E810810B8F9B}"/>
    <cellStyle name="Nota 2 3 2 2 2 2 5 2" xfId="5481" xr:uid="{899692E2-8550-4279-9C4B-976D983F6026}"/>
    <cellStyle name="Nota 2 3 2 2 2 2 5 3" xfId="7475" xr:uid="{E304DCA5-04BD-4BAB-B4BF-A73E1CB4823E}"/>
    <cellStyle name="Nota 2 3 2 2 2 2 5 4" xfId="8719" xr:uid="{C3DC15F0-1D2C-47BE-A5E0-337F3D34F577}"/>
    <cellStyle name="Nota 2 3 2 2 2 2 6" xfId="1521" xr:uid="{530A5847-1724-4030-B7AE-08748F0C966C}"/>
    <cellStyle name="Nota 2 3 2 2 2 2 7" xfId="3837" xr:uid="{6CD6E78B-8B76-4A09-A970-442BD971A543}"/>
    <cellStyle name="Nota 2 3 2 2 2 2 8" xfId="5910" xr:uid="{3210AA1A-09DD-49DB-ABE5-BD8A2B7FCE33}"/>
    <cellStyle name="Nota 2 3 2 2 2 2 9" xfId="7668" xr:uid="{DABF9B34-8CA1-461C-88BF-64E0D9372FAE}"/>
    <cellStyle name="Nota 2 3 2 2 2 3" xfId="745" xr:uid="{74275B13-E537-4A9B-B155-2F98EEC5FE50}"/>
    <cellStyle name="Nota 2 3 2 2 2 3 2" xfId="2203" xr:uid="{97407C0B-6CAB-4225-A484-D2A159BA2412}"/>
    <cellStyle name="Nota 2 3 2 2 2 3 2 2" xfId="4517" xr:uid="{EC8D0CFF-BE13-4105-ACA3-DC2D498FBBCE}"/>
    <cellStyle name="Nota 2 3 2 2 2 3 2 3" xfId="6539" xr:uid="{F34C4207-FE00-4C7C-B786-2968F4ABBC24}"/>
    <cellStyle name="Nota 2 3 2 2 2 3 2 4" xfId="8082" xr:uid="{32B39911-26BC-42F3-8AD6-CDAB51C7488A}"/>
    <cellStyle name="Nota 2 3 2 2 2 3 3" xfId="2655" xr:uid="{6B2120B6-3940-4EDB-AAC4-B69988FA634E}"/>
    <cellStyle name="Nota 2 3 2 2 2 3 3 2" xfId="4969" xr:uid="{24EBAFAB-7D1B-45F0-9064-6A995E721171}"/>
    <cellStyle name="Nota 2 3 2 2 2 3 3 3" xfId="6963" xr:uid="{6DC1BF7C-DC90-4BBB-B0C1-C7BB5461EC6D}"/>
    <cellStyle name="Nota 2 3 2 2 2 3 3 4" xfId="8362" xr:uid="{10D2A9DF-4245-47EE-BF2E-ADE13630C80C}"/>
    <cellStyle name="Nota 2 3 2 2 2 3 4" xfId="3030" xr:uid="{703D7CB9-62A9-4716-97EF-B3FD38CFA312}"/>
    <cellStyle name="Nota 2 3 2 2 2 3 4 2" xfId="5344" xr:uid="{78F1C42D-C5E2-4985-BFDE-D4523D3A9113}"/>
    <cellStyle name="Nota 2 3 2 2 2 3 4 3" xfId="7338" xr:uid="{5CB6A47E-DB37-472C-BECB-694A4B78B1D8}"/>
    <cellStyle name="Nota 2 3 2 2 2 3 4 4" xfId="8590" xr:uid="{1B097F60-A61E-43E0-B55D-D2A29D48F1BB}"/>
    <cellStyle name="Nota 2 3 2 2 2 3 5" xfId="3202" xr:uid="{0E7E21E0-E9B2-4521-9AAA-423F44689119}"/>
    <cellStyle name="Nota 2 3 2 2 2 3 5 2" xfId="5516" xr:uid="{6237298D-4C8F-4589-A2B5-37BE8E0E910E}"/>
    <cellStyle name="Nota 2 3 2 2 2 3 5 3" xfId="7510" xr:uid="{CF6ED1B7-2C13-450C-891F-F15BD56FF9EA}"/>
    <cellStyle name="Nota 2 3 2 2 2 3 5 4" xfId="8754" xr:uid="{7D1DEF28-5127-41CC-9852-963AD528449C}"/>
    <cellStyle name="Nota 2 3 2 2 2 3 6" xfId="1593" xr:uid="{7CF69787-F7A3-40D1-AB7B-E4B70BBA0C56}"/>
    <cellStyle name="Nota 2 3 2 2 2 3 7" xfId="3909" xr:uid="{B651F4FF-93EA-4582-A658-DEB18FA2AF96}"/>
    <cellStyle name="Nota 2 3 2 2 2 3 8" xfId="5976" xr:uid="{7222DC3D-68B5-4EA1-8CEC-A680C16DC26D}"/>
    <cellStyle name="Nota 2 3 2 2 2 3 9" xfId="7711" xr:uid="{BD160D20-3F13-468D-BDB2-D701E8B593EF}"/>
    <cellStyle name="Nota 2 3 2 2 2 4" xfId="1804" xr:uid="{C2B73B5E-19DA-4F02-83C0-B52BEB76A7EF}"/>
    <cellStyle name="Nota 2 3 2 2 2 4 2" xfId="4118" xr:uid="{E1E2E37A-EFEF-4F16-97F7-2FA7D9109926}"/>
    <cellStyle name="Nota 2 3 2 2 2 4 3" xfId="6167" xr:uid="{E5D69677-F9AE-45DE-BC56-797EB51E4977}"/>
    <cellStyle name="Nota 2 3 2 2 2 4 4" xfId="7835" xr:uid="{F7DECEC2-F130-4755-850E-13A653A19D2B}"/>
    <cellStyle name="Nota 2 3 2 2 2 5" xfId="2261" xr:uid="{59119CF4-089B-4817-9504-A78AE6B7EB92}"/>
    <cellStyle name="Nota 2 3 2 2 2 5 2" xfId="4575" xr:uid="{92030E71-8BBD-43EB-B222-BA68FD8F23C0}"/>
    <cellStyle name="Nota 2 3 2 2 2 5 3" xfId="6597" xr:uid="{0A89033E-F96E-48C1-B0A9-2C11334371A4}"/>
    <cellStyle name="Nota 2 3 2 2 2 5 4" xfId="8118" xr:uid="{74FA4177-9AEC-4884-B221-BEE14A94FB2C}"/>
    <cellStyle name="Nota 2 3 2 2 2 6" xfId="2697" xr:uid="{6E5688DE-D3B7-41C9-9B3A-3F2A536438FC}"/>
    <cellStyle name="Nota 2 3 2 2 2 6 2" xfId="5011" xr:uid="{EF973589-A68E-4DA3-BA1A-53AB05976716}"/>
    <cellStyle name="Nota 2 3 2 2 2 6 3" xfId="7005" xr:uid="{470A4DDE-8800-4C2F-982A-C7B111535A96}"/>
    <cellStyle name="Nota 2 3 2 2 2 6 4" xfId="8396" xr:uid="{7E833F31-5E49-41E5-981B-9E79F467274D}"/>
    <cellStyle name="Nota 2 3 2 2 2 7" xfId="2754" xr:uid="{EE775953-7756-49E3-93D4-0E63F886D496}"/>
    <cellStyle name="Nota 2 3 2 2 2 7 2" xfId="5068" xr:uid="{6E323B7A-A988-45FD-95BC-9770C2311C30}"/>
    <cellStyle name="Nota 2 3 2 2 2 7 3" xfId="7062" xr:uid="{19638070-BD90-4F55-A022-54C5389A6CAB}"/>
    <cellStyle name="Nota 2 3 2 2 2 7 4" xfId="8427" xr:uid="{2E0B0D84-E313-45D0-869B-B6216E449626}"/>
    <cellStyle name="Nota 2 3 2 2 2 8" xfId="1162" xr:uid="{F3D10139-BBDA-4D18-B26F-18C6DC0EAAD7}"/>
    <cellStyle name="Nota 2 3 2 2 2 9" xfId="3504" xr:uid="{6275B16E-6618-43DC-8323-5EA37B98D7E2}"/>
    <cellStyle name="Nota 2 3 2 2 3" xfId="488" xr:uid="{E013BCD9-78D6-449E-B717-B3CD0FF9124A}"/>
    <cellStyle name="Nota 2 3 2 2 3 2" xfId="1951" xr:uid="{7D321D91-49EE-4A54-9367-C91E8ECFC113}"/>
    <cellStyle name="Nota 2 3 2 2 3 2 2" xfId="4265" xr:uid="{746F864F-4555-4D2F-882D-AD1FE1A77477}"/>
    <cellStyle name="Nota 2 3 2 2 3 2 3" xfId="6308" xr:uid="{6534940A-9E0A-406B-BD16-CD88DC1527FA}"/>
    <cellStyle name="Nota 2 3 2 2 3 2 4" xfId="7924" xr:uid="{2F6E7A77-4E60-4B51-A812-2FD1F08083C1}"/>
    <cellStyle name="Nota 2 3 2 2 3 3" xfId="2404" xr:uid="{DAD672A2-7ED7-4C40-935D-F020C144A8FD}"/>
    <cellStyle name="Nota 2 3 2 2 3 3 2" xfId="4718" xr:uid="{2823D9DB-865E-4A7F-8217-3783AAF66A2C}"/>
    <cellStyle name="Nota 2 3 2 2 3 3 3" xfId="6731" xr:uid="{0AD1F438-7883-47DD-96EF-C221D8DE8BF6}"/>
    <cellStyle name="Nota 2 3 2 2 3 3 4" xfId="8205" xr:uid="{38C8DC32-0944-4827-A543-2D74E31FAB74}"/>
    <cellStyle name="Nota 2 3 2 2 3 4" xfId="2812" xr:uid="{2F2F5173-D58A-4568-900A-87D11B63ABD1}"/>
    <cellStyle name="Nota 2 3 2 2 3 4 2" xfId="5126" xr:uid="{29F5079A-A0EC-4EBE-A63A-843EC7F67EC6}"/>
    <cellStyle name="Nota 2 3 2 2 3 4 3" xfId="7120" xr:uid="{6011552B-A7A8-4041-A298-4EE3DAE04D29}"/>
    <cellStyle name="Nota 2 3 2 2 3 4 4" xfId="8466" xr:uid="{A1A4E339-C69F-43F5-874E-28391786D3E8}"/>
    <cellStyle name="Nota 2 3 2 2 3 5" xfId="3083" xr:uid="{3CA2F25B-79BA-4BE1-83AE-1B9FA6988641}"/>
    <cellStyle name="Nota 2 3 2 2 3 5 2" xfId="5397" xr:uid="{015DEA6E-2B7A-430F-9A8D-9EB63DBFF35D}"/>
    <cellStyle name="Nota 2 3 2 2 3 5 3" xfId="7391" xr:uid="{D70C33B5-F850-4148-A7B9-BC33F64B95CB}"/>
    <cellStyle name="Nota 2 3 2 2 3 5 4" xfId="8635" xr:uid="{A0318729-FE2C-41FF-BDFA-6430FB47D9E9}"/>
    <cellStyle name="Nota 2 3 2 2 3 6" xfId="1336" xr:uid="{2AE60912-4E5F-4E1D-A161-4584FC255A63}"/>
    <cellStyle name="Nota 2 3 2 2 3 7" xfId="3655" xr:uid="{593901FC-DDC4-4FF3-84BB-772DFBA4166C}"/>
    <cellStyle name="Nota 2 3 2 2 3 8" xfId="5749" xr:uid="{53F7C83C-E5E1-45DC-9FF1-7E584FA8AF25}"/>
    <cellStyle name="Nota 2 3 2 2 3 9" xfId="7555" xr:uid="{2DF51FDC-9A6C-4A9A-A3A6-2EE2DF24530D}"/>
    <cellStyle name="Nota 2 3 2 2 4" xfId="2274" xr:uid="{B60E2D99-F1DE-436D-BD2B-CC06E7937DE6}"/>
    <cellStyle name="Nota 2 3 2 2 4 2" xfId="4588" xr:uid="{80128A91-02F5-4AB4-A7C0-A2CD6365C178}"/>
    <cellStyle name="Nota 2 3 2 2 4 3" xfId="6610" xr:uid="{25D2C024-4F88-4899-AB57-C857B02FD4E9}"/>
    <cellStyle name="Nota 2 3 2 2 4 4" xfId="8126" xr:uid="{E8242BB5-C7BE-40B8-8F74-2DD3EED7740E}"/>
    <cellStyle name="Nota 2 3 2 2 5" xfId="1025" xr:uid="{4A4D1FD4-F8C5-4890-9E63-78645D558107}"/>
    <cellStyle name="Nota 2 3 2 2 6" xfId="3391" xr:uid="{D3910994-3B9F-4B57-9302-D5F01E196D11}"/>
    <cellStyle name="Nota 2 3 2 2 7" xfId="5530" xr:uid="{3F8F8418-B121-4517-82D7-0FB282D169C6}"/>
    <cellStyle name="Nota 2 3 2 2 8" xfId="3264" xr:uid="{679D7377-2652-4941-A354-5DD288C954BC}"/>
    <cellStyle name="Nota 2 3 2 3" xfId="245" xr:uid="{C54B52D9-3B7C-4915-AD81-A8155B975141}"/>
    <cellStyle name="Nota 2 3 2 3 10" xfId="5574" xr:uid="{720889F9-A19B-46C5-8CA3-46D3828B711A}"/>
    <cellStyle name="Nota 2 3 2 3 11" xfId="766" xr:uid="{34DB6340-A888-481F-AEB2-123F681B7800}"/>
    <cellStyle name="Nota 2 3 2 3 2" xfId="628" xr:uid="{28C74C81-F0B2-4DE9-84EF-E6504547A744}"/>
    <cellStyle name="Nota 2 3 2 3 2 2" xfId="2086" xr:uid="{70EC506B-5209-4A57-A14D-658A7945930B}"/>
    <cellStyle name="Nota 2 3 2 3 2 2 2" xfId="4400" xr:uid="{A29B6911-11C2-4BA6-AC1F-68E92B8152EE}"/>
    <cellStyle name="Nota 2 3 2 3 2 2 3" xfId="6439" xr:uid="{D77EF2C1-22FF-4EBE-B9C1-7B4748D90CC1}"/>
    <cellStyle name="Nota 2 3 2 3 2 2 4" xfId="7997" xr:uid="{9536BA27-7E42-43F9-AFBF-B7219C53EF17}"/>
    <cellStyle name="Nota 2 3 2 3 2 3" xfId="2538" xr:uid="{3592D000-A2B7-4E8F-AE87-402707CDCA68}"/>
    <cellStyle name="Nota 2 3 2 3 2 3 2" xfId="4852" xr:uid="{411D5C7F-B81B-4625-A67E-EA3E20FA3F06}"/>
    <cellStyle name="Nota 2 3 2 3 2 3 3" xfId="6860" xr:uid="{F5024639-A4F0-4D48-A8B4-7579A407B5A1}"/>
    <cellStyle name="Nota 2 3 2 3 2 3 4" xfId="8277" xr:uid="{0062B62B-375E-46A1-890B-38E2E3C0AAF5}"/>
    <cellStyle name="Nota 2 3 2 3 2 4" xfId="2937" xr:uid="{46F24397-91FE-4299-A36A-5E21492C4D55}"/>
    <cellStyle name="Nota 2 3 2 3 2 4 2" xfId="5251" xr:uid="{737E7A73-5D66-453B-BB0B-EC3BA27263BB}"/>
    <cellStyle name="Nota 2 3 2 3 2 4 3" xfId="7245" xr:uid="{4BD82BE8-EB8B-41F9-A3D1-C3F940B622EB}"/>
    <cellStyle name="Nota 2 3 2 3 2 4 4" xfId="8529" xr:uid="{A212E41E-0ED2-4712-B06B-9423B6ED3F28}"/>
    <cellStyle name="Nota 2 3 2 3 2 5" xfId="3143" xr:uid="{585504EF-DA84-4DED-9B91-CA5D77B3FB4C}"/>
    <cellStyle name="Nota 2 3 2 3 2 5 2" xfId="5457" xr:uid="{337E6FE7-116A-49C1-BE98-224E81D77878}"/>
    <cellStyle name="Nota 2 3 2 3 2 5 3" xfId="7451" xr:uid="{FFCD749A-1E2D-408B-9699-FD1E7E8B0240}"/>
    <cellStyle name="Nota 2 3 2 3 2 5 4" xfId="8695" xr:uid="{DCD63A01-92E3-4422-BEFD-EA4E9199F7E4}"/>
    <cellStyle name="Nota 2 3 2 3 2 6" xfId="1476" xr:uid="{4C5F6160-6158-4F45-A128-9152FCDCEE67}"/>
    <cellStyle name="Nota 2 3 2 3 2 7" xfId="3792" xr:uid="{4AE288F9-11C3-4F7A-8A1E-BBB7DCD5F479}"/>
    <cellStyle name="Nota 2 3 2 3 2 8" xfId="5878" xr:uid="{191778EF-3C4E-4632-9003-DB12A12912CB}"/>
    <cellStyle name="Nota 2 3 2 3 2 9" xfId="7626" xr:uid="{4CD5978F-30B7-43EC-AC2B-730C040FFE05}"/>
    <cellStyle name="Nota 2 3 2 3 3" xfId="703" xr:uid="{E7ECD139-5C9A-4A60-B49E-DB236AA88AAF}"/>
    <cellStyle name="Nota 2 3 2 3 3 2" xfId="2161" xr:uid="{C515CF46-4D0D-49B0-875C-909680B929F1}"/>
    <cellStyle name="Nota 2 3 2 3 3 2 2" xfId="4475" xr:uid="{00C73F57-B4BF-4BDC-9A83-1EEC03BAF369}"/>
    <cellStyle name="Nota 2 3 2 3 3 2 3" xfId="6497" xr:uid="{76EC3971-935F-43D9-BE2E-5AFF5B2C1066}"/>
    <cellStyle name="Nota 2 3 2 3 3 2 4" xfId="8061" xr:uid="{FB071BC5-04C5-4392-8095-886B2C227231}"/>
    <cellStyle name="Nota 2 3 2 3 3 3" xfId="2613" xr:uid="{7ECB1ECC-7919-4FF0-875B-FD6DE7991695}"/>
    <cellStyle name="Nota 2 3 2 3 3 3 2" xfId="4927" xr:uid="{55640CD3-7442-4056-B457-06A0951C663F}"/>
    <cellStyle name="Nota 2 3 2 3 3 3 3" xfId="6921" xr:uid="{26EBBAD2-0EB2-4886-B59D-22F586D76E0A}"/>
    <cellStyle name="Nota 2 3 2 3 3 3 4" xfId="8341" xr:uid="{DE0D24D7-04D5-4D4E-8A87-AE18C75FD80B}"/>
    <cellStyle name="Nota 2 3 2 3 3 4" xfId="2988" xr:uid="{124E6F52-7F9D-45CC-8DBD-A7F83D10CBEC}"/>
    <cellStyle name="Nota 2 3 2 3 3 4 2" xfId="5302" xr:uid="{0684C439-CB54-418E-82C9-619ACC4A0389}"/>
    <cellStyle name="Nota 2 3 2 3 3 4 3" xfId="7296" xr:uid="{16953FF2-E6A6-4172-9099-3EEC9CFA46D9}"/>
    <cellStyle name="Nota 2 3 2 3 3 4 4" xfId="8569" xr:uid="{75941614-95D0-40AC-88F3-F185B4B75B41}"/>
    <cellStyle name="Nota 2 3 2 3 3 5" xfId="3181" xr:uid="{2FB54B37-86AA-4FEE-BA3E-942D1592E227}"/>
    <cellStyle name="Nota 2 3 2 3 3 5 2" xfId="5495" xr:uid="{977877FC-47EF-450B-9B2B-5D783670BBF6}"/>
    <cellStyle name="Nota 2 3 2 3 3 5 3" xfId="7489" xr:uid="{EC4969C0-531D-4DAA-8B8A-D5E2E01799B5}"/>
    <cellStyle name="Nota 2 3 2 3 3 5 4" xfId="8733" xr:uid="{D8E246D5-0AAB-4797-8A34-5FCE7DF0ACD4}"/>
    <cellStyle name="Nota 2 3 2 3 3 6" xfId="1551" xr:uid="{2B1FC174-D72C-4A58-B333-36ADAC5F4C35}"/>
    <cellStyle name="Nota 2 3 2 3 3 7" xfId="3867" xr:uid="{C2147D86-8F88-417E-89B1-13EE73FA1901}"/>
    <cellStyle name="Nota 2 3 2 3 3 8" xfId="5934" xr:uid="{7160BFC8-150F-4666-9802-23146E246387}"/>
    <cellStyle name="Nota 2 3 2 3 3 9" xfId="7690" xr:uid="{F03EFCED-3688-478A-B645-F940ABC84D88}"/>
    <cellStyle name="Nota 2 3 2 3 4" xfId="1745" xr:uid="{86DD8976-E06E-4F94-80DF-47A57EEC5CEA}"/>
    <cellStyle name="Nota 2 3 2 3 4 2" xfId="4059" xr:uid="{3A1EA047-D1F4-41DD-BE3E-684B69FB68D0}"/>
    <cellStyle name="Nota 2 3 2 3 4 3" xfId="6111" xr:uid="{5422C4A0-F0C1-4DA4-9AAE-36760491A665}"/>
    <cellStyle name="Nota 2 3 2 3 4 4" xfId="7799" xr:uid="{D203ADAD-66CD-423C-95C9-9E917560FA5E}"/>
    <cellStyle name="Nota 2 3 2 3 5" xfId="1916" xr:uid="{CD51923D-6C69-42E4-98B1-70D2757924D7}"/>
    <cellStyle name="Nota 2 3 2 3 5 2" xfId="4230" xr:uid="{BC536D3E-17BC-42E9-AC58-B0C256514B43}"/>
    <cellStyle name="Nota 2 3 2 3 5 3" xfId="6275" xr:uid="{FDD44C54-72F5-469E-9917-A8D9DB6886A0}"/>
    <cellStyle name="Nota 2 3 2 3 5 4" xfId="7900" xr:uid="{F6FACBDC-F903-4BDD-8864-6C25E6FF5424}"/>
    <cellStyle name="Nota 2 3 2 3 6" xfId="1704" xr:uid="{EE23EE42-6BEF-4B42-A343-488B3D140E6A}"/>
    <cellStyle name="Nota 2 3 2 3 6 2" xfId="4018" xr:uid="{91C82A3B-2E6A-456D-B3D6-F1ADCA5F620F}"/>
    <cellStyle name="Nota 2 3 2 3 6 3" xfId="6072" xr:uid="{C4DEC4EF-B63A-410D-9E19-4738489FB1BF}"/>
    <cellStyle name="Nota 2 3 2 3 6 4" xfId="7774" xr:uid="{F5C4706A-350F-4126-A153-3D66347ADE76}"/>
    <cellStyle name="Nota 2 3 2 3 7" xfId="1936" xr:uid="{65900694-33A2-4374-95DC-9D4555615DE6}"/>
    <cellStyle name="Nota 2 3 2 3 7 2" xfId="4250" xr:uid="{06460699-14E1-4897-89AB-0D6B9F0B634D}"/>
    <cellStyle name="Nota 2 3 2 3 7 3" xfId="6295" xr:uid="{41920D99-C0CE-4CD4-B136-E9CA0A7C0DAA}"/>
    <cellStyle name="Nota 2 3 2 3 7 4" xfId="7913" xr:uid="{2FC94F06-02CF-4811-8C95-E584C563AB10}"/>
    <cellStyle name="Nota 2 3 2 3 8" xfId="1093" xr:uid="{5B2778A6-37A0-45DE-98C7-D12F28204370}"/>
    <cellStyle name="Nota 2 3 2 3 9" xfId="3448" xr:uid="{5552305B-2957-475A-B09E-FC6B10E4DF1F}"/>
    <cellStyle name="Nota 2 3 2 4" xfId="417" xr:uid="{80052785-A717-4EB1-ADE7-7A6C6C0AE931}"/>
    <cellStyle name="Nota 2 3 2 4 2" xfId="1893" xr:uid="{C00AF1E7-A48A-4AD9-A133-A5E6E1E02316}"/>
    <cellStyle name="Nota 2 3 2 4 2 2" xfId="4207" xr:uid="{C8560C77-D7C0-4E03-B7C3-991C82B3D3DE}"/>
    <cellStyle name="Nota 2 3 2 4 2 3" xfId="6253" xr:uid="{093F41AF-7DB8-4A4C-9E86-71C535270957}"/>
    <cellStyle name="Nota 2 3 2 4 2 4" xfId="7885" xr:uid="{308FC085-ADCB-43B7-BC18-91721D1251DA}"/>
    <cellStyle name="Nota 2 3 2 4 3" xfId="2350" xr:uid="{06B72452-8086-473C-92FE-046B6BC02872}"/>
    <cellStyle name="Nota 2 3 2 4 3 2" xfId="4664" xr:uid="{CE1BAB31-F730-40F8-BDC7-D23813A09D1C}"/>
    <cellStyle name="Nota 2 3 2 4 3 3" xfId="6679" xr:uid="{CE882C3F-4241-4847-A661-4D5E7AD038B6}"/>
    <cellStyle name="Nota 2 3 2 4 3 4" xfId="8167" xr:uid="{5876757A-CE19-4792-9D50-BC2757FF534B}"/>
    <cellStyle name="Nota 2 3 2 4 4" xfId="2764" xr:uid="{E309D3F4-5BC8-4047-AD71-F4DE20AF63F0}"/>
    <cellStyle name="Nota 2 3 2 4 4 2" xfId="5078" xr:uid="{4B894BBF-D304-42C6-973B-8C5421511AD6}"/>
    <cellStyle name="Nota 2 3 2 4 4 3" xfId="7072" xr:uid="{E93248C9-A334-4516-A236-41E5F9AE7221}"/>
    <cellStyle name="Nota 2 3 2 4 4 4" xfId="8434" xr:uid="{16EB3D48-25DE-4AB7-BEC9-254AFE8DC621}"/>
    <cellStyle name="Nota 2 3 2 4 5" xfId="3060" xr:uid="{B6D0B21A-112D-49D1-B549-2FCBEB28751B}"/>
    <cellStyle name="Nota 2 3 2 4 5 2" xfId="5374" xr:uid="{986BA9B1-8123-4EB0-BABC-64CCF5A41DE2}"/>
    <cellStyle name="Nota 2 3 2 4 5 3" xfId="7368" xr:uid="{097D3B70-3567-441B-A421-F0F966CB89CC}"/>
    <cellStyle name="Nota 2 3 2 4 5 4" xfId="8612" xr:uid="{A94EBE43-FDA5-4262-8DDD-8F774A0A5F4D}"/>
    <cellStyle name="Nota 2 3 2 4 6" xfId="1265" xr:uid="{9FA7526D-41AF-46FA-BE7D-1F514A91D775}"/>
    <cellStyle name="Nota 2 3 2 4 7" xfId="3593" xr:uid="{9F6BF2A0-E614-40CF-9C34-57194C4F88B5}"/>
    <cellStyle name="Nota 2 3 2 4 8" xfId="5700" xr:uid="{E492FD05-C8E7-4EA6-BD8E-1F1B77FB3759}"/>
    <cellStyle name="Nota 2 3 2 4 9" xfId="7527" xr:uid="{465111CE-F511-48D5-83F9-3A7FE9EB2EFB}"/>
    <cellStyle name="Nota 2 3 2 5" xfId="562" xr:uid="{B7D5EC24-69E4-4B4C-A056-D03580081FB5}"/>
    <cellStyle name="Nota 2 3 2 5 2" xfId="2020" xr:uid="{03ACAE64-8848-44D7-AED8-2517447194B5}"/>
    <cellStyle name="Nota 2 3 2 5 2 2" xfId="4334" xr:uid="{8D901939-6D15-48CE-B590-FE47F2FE78BE}"/>
    <cellStyle name="Nota 2 3 2 5 2 3" xfId="6375" xr:uid="{2A9AB768-BF0C-4EBF-9D17-06342ADF288F}"/>
    <cellStyle name="Nota 2 3 2 5 2 4" xfId="7953" xr:uid="{57E3DA1F-168E-426A-9F08-6A91A8FBF9F8}"/>
    <cellStyle name="Nota 2 3 2 5 3" xfId="2472" xr:uid="{E2601A20-CBE9-4532-ABC4-A96331BF66A5}"/>
    <cellStyle name="Nota 2 3 2 5 3 2" xfId="4786" xr:uid="{7D815EC9-EA58-4E3A-B805-E57C600CAC8C}"/>
    <cellStyle name="Nota 2 3 2 5 3 3" xfId="6796" xr:uid="{3942DA03-BE54-4818-A426-51BF9EC284B0}"/>
    <cellStyle name="Nota 2 3 2 5 3 4" xfId="8233" xr:uid="{E6737FCF-D4E6-4CB4-84EB-73EF4E9510FC}"/>
    <cellStyle name="Nota 2 3 2 5 4" xfId="2877" xr:uid="{3E3AEDAE-42D1-4633-94C2-83A2E84EC479}"/>
    <cellStyle name="Nota 2 3 2 5 4 2" xfId="5191" xr:uid="{A82BF1F8-BEAA-48A5-A5BB-676EB8048083}"/>
    <cellStyle name="Nota 2 3 2 5 4 3" xfId="7185" xr:uid="{444219E5-9F51-4051-ABE4-A47CF10B77B1}"/>
    <cellStyle name="Nota 2 3 2 5 4 4" xfId="8491" xr:uid="{9F2ED1F7-AB63-4D81-8DD1-3BAFE250B1AA}"/>
    <cellStyle name="Nota 2 3 2 5 5" xfId="3105" xr:uid="{4616DAEB-0C86-4E1A-9E1E-F1AFC2220952}"/>
    <cellStyle name="Nota 2 3 2 5 5 2" xfId="5419" xr:uid="{A538AF14-0C3B-495C-BB4F-D381D5B5DF2B}"/>
    <cellStyle name="Nota 2 3 2 5 5 3" xfId="7413" xr:uid="{9BCA1EF0-3063-4961-B4F2-218230B0BBD1}"/>
    <cellStyle name="Nota 2 3 2 5 5 4" xfId="8657" xr:uid="{EAE3ECE7-D10A-42E2-918A-3EBB0F42F8E7}"/>
    <cellStyle name="Nota 2 3 2 5 6" xfId="1410" xr:uid="{6CF0F68A-378C-4C7C-A257-3389C4C9E66E}"/>
    <cellStyle name="Nota 2 3 2 5 7" xfId="3726" xr:uid="{EB1418AC-7D90-48D0-A7F5-4A8977153E7D}"/>
    <cellStyle name="Nota 2 3 2 5 8" xfId="5816" xr:uid="{E184B178-E2D1-4867-B2EF-4BA16231DA45}"/>
    <cellStyle name="Nota 2 3 2 5 9" xfId="7582" xr:uid="{9F9B5256-4441-4F0F-BBED-B2471AA2B444}"/>
    <cellStyle name="Nota 2 3 2 6" xfId="624" xr:uid="{06951875-ABDE-478D-B66B-817EB9E7A18D}"/>
    <cellStyle name="Nota 2 3 2 6 2" xfId="2082" xr:uid="{0EB9C3CE-C945-4DEA-8CCD-AB2E4EB43B10}"/>
    <cellStyle name="Nota 2 3 2 6 2 2" xfId="4396" xr:uid="{412616AB-6CF2-407B-BEE3-C791CDA2B53C}"/>
    <cellStyle name="Nota 2 3 2 6 2 3" xfId="6436" xr:uid="{6ABEB8EE-472B-4B44-8D5E-2D53A74488E5}"/>
    <cellStyle name="Nota 2 3 2 6 2 4" xfId="7993" xr:uid="{5CB83200-1059-4075-AEB1-75F60B6A79CA}"/>
    <cellStyle name="Nota 2 3 2 6 3" xfId="2534" xr:uid="{7B63A095-E3B8-4908-B8FA-C905EF826E2F}"/>
    <cellStyle name="Nota 2 3 2 6 3 2" xfId="4848" xr:uid="{D1FEB717-B4E7-4C4D-8CBF-7FB3088937A2}"/>
    <cellStyle name="Nota 2 3 2 6 3 3" xfId="6856" xr:uid="{0425C529-FE2C-4ED1-A435-D8932D6DEFA8}"/>
    <cellStyle name="Nota 2 3 2 6 3 4" xfId="8273" xr:uid="{970B532C-54E5-4656-BC5B-49A2589FD477}"/>
    <cellStyle name="Nota 2 3 2 6 4" xfId="2935" xr:uid="{AC161FDC-7C70-41D3-BE9E-2CF8D41A086E}"/>
    <cellStyle name="Nota 2 3 2 6 4 2" xfId="5249" xr:uid="{888108A1-F502-4EB3-A45B-83C79AC2C032}"/>
    <cellStyle name="Nota 2 3 2 6 4 3" xfId="7243" xr:uid="{064EDECE-3CE4-4B28-911F-E5BEECFF066C}"/>
    <cellStyle name="Nota 2 3 2 6 4 4" xfId="8527" xr:uid="{D393FC07-2625-41AA-91A3-21B7CCEA35DC}"/>
    <cellStyle name="Nota 2 3 2 6 5" xfId="3141" xr:uid="{0D99F694-F22E-4E29-8FE5-7431F6501A40}"/>
    <cellStyle name="Nota 2 3 2 6 5 2" xfId="5455" xr:uid="{2CC2C27B-9922-41E9-A580-55D817C8FF72}"/>
    <cellStyle name="Nota 2 3 2 6 5 3" xfId="7449" xr:uid="{009792CB-DDBA-4A37-94A5-3D1F65E83DB5}"/>
    <cellStyle name="Nota 2 3 2 6 5 4" xfId="8693" xr:uid="{AB40B89A-81C6-4B18-BB20-2901BA9FB406}"/>
    <cellStyle name="Nota 2 3 2 6 6" xfId="1472" xr:uid="{E1879A56-561A-4151-83C3-6C676B3CA668}"/>
    <cellStyle name="Nota 2 3 2 6 7" xfId="3788" xr:uid="{8485CDCF-E4D4-468F-AC4C-B16985AAE21F}"/>
    <cellStyle name="Nota 2 3 2 6 8" xfId="5875" xr:uid="{A369472E-C6AF-4DB5-B69E-25A83F31AE9D}"/>
    <cellStyle name="Nota 2 3 2 6 9" xfId="7622" xr:uid="{4D4E0755-5E89-4991-941E-1B23E74757C9}"/>
    <cellStyle name="Nota 2 3 2 7" xfId="955" xr:uid="{637782B5-D4F8-40AE-8A8E-D61D79C2FC1F}"/>
    <cellStyle name="Nota 2 3 2 7 2" xfId="3333" xr:uid="{0297EFDD-BA41-430A-BAC7-2E6B83655499}"/>
    <cellStyle name="Nota 2 3 2 7 3" xfId="3354" xr:uid="{03EDBBB4-6974-4ECE-9CC0-FF0EDEE0170F}"/>
    <cellStyle name="Nota 2 3 2 7 4" xfId="6429" xr:uid="{3D61AC27-1BFA-4993-94A8-E7A2A4CA3005}"/>
    <cellStyle name="Nota 2 3 2 8" xfId="1645" xr:uid="{01FB6266-9B9F-462B-8010-FA2206622C5F}"/>
    <cellStyle name="Nota 2 3 2 8 2" xfId="3959" xr:uid="{37CA8C3B-5609-4033-8F22-4345610784A5}"/>
    <cellStyle name="Nota 2 3 2 8 3" xfId="6018" xr:uid="{B2D2A3F8-84AE-4ACA-A168-10A59876757A}"/>
    <cellStyle name="Nota 2 3 2 8 4" xfId="7739" xr:uid="{B8763C99-33B1-4C58-9172-2D9C65120CB2}"/>
    <cellStyle name="Nota 2 3 2 9" xfId="1889" xr:uid="{7C3CD0AD-3633-4CF6-AF85-4D458F54E579}"/>
    <cellStyle name="Nota 2 3 2 9 2" xfId="4203" xr:uid="{9520ED8C-7B90-44F7-B3F4-D8E7A7FB9754}"/>
    <cellStyle name="Nota 2 3 2 9 3" xfId="6249" xr:uid="{107ED82A-8B7E-47A1-BED0-BF411FAC5233}"/>
    <cellStyle name="Nota 2 3 2 9 4" xfId="7883" xr:uid="{89BB8CF1-4444-4B24-8587-CE333EE2B58A}"/>
    <cellStyle name="Nota 2 3 3" xfId="143" xr:uid="{7E2D53D2-5E29-49BB-9AE7-E65F4A03E383}"/>
    <cellStyle name="Nota 2 3 3 10" xfId="3365" xr:uid="{82B95E82-EEE2-48A4-A348-523C4E9E749A}"/>
    <cellStyle name="Nota 2 3 3 11" xfId="779" xr:uid="{29F768B0-10EF-4FCA-81A4-0F1CF08888E2}"/>
    <cellStyle name="Nota 2 3 3 12" xfId="3319" xr:uid="{517765D8-D62C-4D46-B256-B4EE2B165538}"/>
    <cellStyle name="Nota 2 3 3 2" xfId="281" xr:uid="{4C242548-E415-4EA8-92DC-1DE6C9B26976}"/>
    <cellStyle name="Nota 2 3 3 2 10" xfId="5600" xr:uid="{2808B3A0-38CF-4AB1-BE97-4C9D6E4CEF26}"/>
    <cellStyle name="Nota 2 3 3 2 11" xfId="770" xr:uid="{640350D9-B437-4AA8-B30E-DFFFE8EE082D}"/>
    <cellStyle name="Nota 2 3 3 2 2" xfId="651" xr:uid="{BA39095C-845A-4B9E-A946-335B050DF7C4}"/>
    <cellStyle name="Nota 2 3 3 2 2 2" xfId="2109" xr:uid="{6823C577-D92E-4BE9-BAF2-30A41FBEF339}"/>
    <cellStyle name="Nota 2 3 3 2 2 2 2" xfId="4423" xr:uid="{A0C78FD0-0B21-4667-AE45-FA60EFFCEAE3}"/>
    <cellStyle name="Nota 2 3 3 2 2 2 3" xfId="6455" xr:uid="{0790DD35-8A45-451F-9872-520CD43912E5}"/>
    <cellStyle name="Nota 2 3 3 2 2 2 4" xfId="8018" xr:uid="{550F7216-EAD4-4B09-98E5-81C0060F2905}"/>
    <cellStyle name="Nota 2 3 3 2 2 3" xfId="2561" xr:uid="{2F61FA6B-1AF7-42A9-B079-206583397B9A}"/>
    <cellStyle name="Nota 2 3 3 2 2 3 2" xfId="4875" xr:uid="{3E92477F-6444-49D9-9CD6-5E5CB75E171A}"/>
    <cellStyle name="Nota 2 3 3 2 2 3 3" xfId="6876" xr:uid="{74A4D555-72DD-4586-A53B-4EDE93BE118B}"/>
    <cellStyle name="Nota 2 3 3 2 2 3 4" xfId="8298" xr:uid="{1419BD8A-DC46-44EC-88E4-47D5B9427AB1}"/>
    <cellStyle name="Nota 2 3 3 2 2 4" xfId="2952" xr:uid="{2029564E-9543-451D-B883-069AD0B0052C}"/>
    <cellStyle name="Nota 2 3 3 2 2 4 2" xfId="5266" xr:uid="{E7A64B62-D5B6-4246-9EE3-AF01E7D86AC5}"/>
    <cellStyle name="Nota 2 3 3 2 2 4 3" xfId="7260" xr:uid="{ED9DD0CA-2470-4C0D-90BF-C4B47728D844}"/>
    <cellStyle name="Nota 2 3 3 2 2 4 4" xfId="8542" xr:uid="{D3A6926C-DFA6-4784-A69E-B0991F154E48}"/>
    <cellStyle name="Nota 2 3 3 2 2 5" xfId="3155" xr:uid="{FCF91238-1509-43C7-9C1E-F4D5AEA405E4}"/>
    <cellStyle name="Nota 2 3 3 2 2 5 2" xfId="5469" xr:uid="{771C2774-5B5A-4A03-B5F9-85601AC78085}"/>
    <cellStyle name="Nota 2 3 3 2 2 5 3" xfId="7463" xr:uid="{2C54E844-52CF-401C-8401-B1C368B88DC1}"/>
    <cellStyle name="Nota 2 3 3 2 2 5 4" xfId="8707" xr:uid="{E96A5688-1889-4C21-B19B-A2FD7BAE0105}"/>
    <cellStyle name="Nota 2 3 3 2 2 6" xfId="1499" xr:uid="{5DB05DD2-16EA-48EB-BFC8-F08086B23F8D}"/>
    <cellStyle name="Nota 2 3 3 2 2 7" xfId="3815" xr:uid="{603738A5-547A-437B-99A5-58D8CD60B16B}"/>
    <cellStyle name="Nota 2 3 3 2 2 8" xfId="5894" xr:uid="{2618AD6F-C2C5-47D6-AEF6-A5FAD4D0261F}"/>
    <cellStyle name="Nota 2 3 3 2 2 9" xfId="7647" xr:uid="{8BD67659-C4F5-4554-92CF-3B8CBEDF885F}"/>
    <cellStyle name="Nota 2 3 3 2 3" xfId="726" xr:uid="{481F6B3C-C4E4-4E41-B86A-6039E06FB5BA}"/>
    <cellStyle name="Nota 2 3 3 2 3 2" xfId="2184" xr:uid="{031436BD-665C-40B4-8B86-AFD35D664BA6}"/>
    <cellStyle name="Nota 2 3 3 2 3 2 2" xfId="4498" xr:uid="{699CBB06-8B12-44CA-A860-B26EF68CEF89}"/>
    <cellStyle name="Nota 2 3 3 2 3 2 3" xfId="6520" xr:uid="{665ED53F-DA01-478C-A49E-0743ADA9A4CF}"/>
    <cellStyle name="Nota 2 3 3 2 3 2 4" xfId="8072" xr:uid="{C1452DE5-E22D-410C-B730-DDD81267EEFD}"/>
    <cellStyle name="Nota 2 3 3 2 3 3" xfId="2636" xr:uid="{E952D522-D154-44B2-8694-C8A1EFB2CA97}"/>
    <cellStyle name="Nota 2 3 3 2 3 3 2" xfId="4950" xr:uid="{71F23E0D-6CB2-4384-B833-7DD291630FC9}"/>
    <cellStyle name="Nota 2 3 3 2 3 3 3" xfId="6944" xr:uid="{30929DBC-7333-40EC-B037-679858C57847}"/>
    <cellStyle name="Nota 2 3 3 2 3 3 4" xfId="8352" xr:uid="{2F85CAFF-D437-468B-969E-16CC3C7FC743}"/>
    <cellStyle name="Nota 2 3 3 2 3 4" xfId="3011" xr:uid="{8DF6BE7A-67F1-4AB3-B2E2-49CD6D265846}"/>
    <cellStyle name="Nota 2 3 3 2 3 4 2" xfId="5325" xr:uid="{98427078-50CA-43DF-BECF-6ECA407FA889}"/>
    <cellStyle name="Nota 2 3 3 2 3 4 3" xfId="7319" xr:uid="{FA82FE18-E091-46D4-AE56-1B42744EDC6F}"/>
    <cellStyle name="Nota 2 3 3 2 3 4 4" xfId="8580" xr:uid="{FFDA497C-DE9D-49DB-AAEF-460111980649}"/>
    <cellStyle name="Nota 2 3 3 2 3 5" xfId="3192" xr:uid="{C1FBE988-942B-4DDA-97C1-8D91512F6E46}"/>
    <cellStyle name="Nota 2 3 3 2 3 5 2" xfId="5506" xr:uid="{D8C554BD-DF8D-4111-90CA-13F80E412C41}"/>
    <cellStyle name="Nota 2 3 3 2 3 5 3" xfId="7500" xr:uid="{4F13F917-4D4C-4D3A-B94C-6EA72BA66058}"/>
    <cellStyle name="Nota 2 3 3 2 3 5 4" xfId="8744" xr:uid="{7530D974-CED7-46AD-AD2B-F398E988C7C3}"/>
    <cellStyle name="Nota 2 3 3 2 3 6" xfId="1574" xr:uid="{89E0AC0D-2B6A-4C0D-BF45-03353D18027B}"/>
    <cellStyle name="Nota 2 3 3 2 3 7" xfId="3890" xr:uid="{FB699C3E-B050-4007-8767-0C3136A662A4}"/>
    <cellStyle name="Nota 2 3 3 2 3 8" xfId="5957" xr:uid="{F5E7F424-477E-481F-99E8-F2BD691FD625}"/>
    <cellStyle name="Nota 2 3 3 2 3 9" xfId="7701" xr:uid="{5BBA303E-92C9-45F5-8714-46883F894FEE}"/>
    <cellStyle name="Nota 2 3 3 2 4" xfId="1775" xr:uid="{E9C5AB3E-93D8-4592-98F3-2602DF14D51F}"/>
    <cellStyle name="Nota 2 3 3 2 4 2" xfId="4089" xr:uid="{C23B6F10-2A30-460B-A2C1-DCF708F8B6F0}"/>
    <cellStyle name="Nota 2 3 3 2 4 3" xfId="6138" xr:uid="{B13434F1-8B79-4513-9CE4-1B603CEE34B8}"/>
    <cellStyle name="Nota 2 3 3 2 4 4" xfId="7818" xr:uid="{0E3B6677-AE88-4EB5-9963-04B9CCD4DEC1}"/>
    <cellStyle name="Nota 2 3 3 2 5" xfId="2235" xr:uid="{972CF211-C75B-4904-BF50-3F1130CAF5CB}"/>
    <cellStyle name="Nota 2 3 3 2 5 2" xfId="4549" xr:uid="{B442ABCB-338B-4F48-8867-E6CD039CD281}"/>
    <cellStyle name="Nota 2 3 3 2 5 3" xfId="6571" xr:uid="{67A40A5C-DDB5-4261-B188-EFC4C9F1F840}"/>
    <cellStyle name="Nota 2 3 3 2 5 4" xfId="8101" xr:uid="{CBB662C0-23B9-4EA9-ABFF-5F9B9DCD7B2E}"/>
    <cellStyle name="Nota 2 3 3 2 6" xfId="2680" xr:uid="{B32B9F58-C81C-4900-BE11-DCB41938C211}"/>
    <cellStyle name="Nota 2 3 3 2 6 2" xfId="4994" xr:uid="{0FA2A27A-68B0-4B31-87CD-0C2810C676B0}"/>
    <cellStyle name="Nota 2 3 3 2 6 3" xfId="6988" xr:uid="{1E1E8B13-D054-40EC-A1A4-B2B5363EC773}"/>
    <cellStyle name="Nota 2 3 3 2 6 4" xfId="8379" xr:uid="{5DFC173F-74A0-48EF-A654-E18098CBAB1F}"/>
    <cellStyle name="Nota 2 3 3 2 7" xfId="2227" xr:uid="{7D08CEE2-EF72-48C9-80A2-A825CD99FFBB}"/>
    <cellStyle name="Nota 2 3 3 2 7 2" xfId="4541" xr:uid="{308B2CBC-26F5-4DFA-959F-B0E8FB878749}"/>
    <cellStyle name="Nota 2 3 3 2 7 3" xfId="6563" xr:uid="{C19BDC7E-E393-447F-8887-474895CB249D}"/>
    <cellStyle name="Nota 2 3 3 2 7 4" xfId="8096" xr:uid="{021C6BBE-3158-4DE3-90B3-DE934E53C993}"/>
    <cellStyle name="Nota 2 3 3 2 8" xfId="1129" xr:uid="{E17EA2E6-54E2-43D1-8EF9-CD1E01C5D424}"/>
    <cellStyle name="Nota 2 3 3 2 9" xfId="3480" xr:uid="{544D93B2-89BC-4E6E-A4E2-F47319B36A4F}"/>
    <cellStyle name="Nota 2 3 3 3" xfId="454" xr:uid="{149E014A-9CD4-4656-8306-989B23F0DE23}"/>
    <cellStyle name="Nota 2 3 3 3 2" xfId="1923" xr:uid="{47A55046-E87B-408B-8507-2140C2B11766}"/>
    <cellStyle name="Nota 2 3 3 3 2 2" xfId="4237" xr:uid="{92AAC751-1E2E-4578-A469-932D6EB0A5C7}"/>
    <cellStyle name="Nota 2 3 3 3 2 3" xfId="6282" xr:uid="{7EA39927-65BA-4E81-9459-E4207523963E}"/>
    <cellStyle name="Nota 2 3 3 3 2 4" xfId="7905" xr:uid="{1035F8CF-D6F0-4BFD-A4D5-29EB7D48CE6C}"/>
    <cellStyle name="Nota 2 3 3 3 3" xfId="2378" xr:uid="{861CE149-DBED-4A7C-93C2-27758E559088}"/>
    <cellStyle name="Nota 2 3 3 3 3 2" xfId="4692" xr:uid="{6399E3C7-30AA-450C-A855-8C146D1DC62B}"/>
    <cellStyle name="Nota 2 3 3 3 3 3" xfId="6705" xr:uid="{BBDBE4BE-9154-42EA-939A-883BC0EC916B}"/>
    <cellStyle name="Nota 2 3 3 3 3 4" xfId="8186" xr:uid="{992F9841-D3CB-4A41-9E79-A3FB183AB4B2}"/>
    <cellStyle name="Nota 2 3 3 3 4" xfId="2789" xr:uid="{FA47DDC9-5731-4CDA-81F3-C95DE96053BA}"/>
    <cellStyle name="Nota 2 3 3 3 4 2" xfId="5103" xr:uid="{35A7988C-3114-4C39-9A67-471DB6658816}"/>
    <cellStyle name="Nota 2 3 3 3 4 3" xfId="7097" xr:uid="{4218A057-32AA-4D3C-ABEF-CCD1E8AA55E8}"/>
    <cellStyle name="Nota 2 3 3 3 4 4" xfId="8450" xr:uid="{047D5EBD-2132-4722-8BDF-F797B022F679}"/>
    <cellStyle name="Nota 2 3 3 3 5" xfId="3072" xr:uid="{9D2C868C-3C27-4509-A38C-F62A66BF6337}"/>
    <cellStyle name="Nota 2 3 3 3 5 2" xfId="5386" xr:uid="{A5A41C21-A601-4690-8DC6-BB2F6410308E}"/>
    <cellStyle name="Nota 2 3 3 3 5 3" xfId="7380" xr:uid="{E1C39B17-772B-446E-888D-072A9A82053A}"/>
    <cellStyle name="Nota 2 3 3 3 5 4" xfId="8624" xr:uid="{823E3080-2858-4FA6-8276-EF8D57E486C0}"/>
    <cellStyle name="Nota 2 3 3 3 6" xfId="1302" xr:uid="{F8445FC8-4B73-4527-84ED-40BF3BD589B1}"/>
    <cellStyle name="Nota 2 3 3 3 7" xfId="3627" xr:uid="{CD70D308-FDC5-4409-BAE7-8AA0FF531617}"/>
    <cellStyle name="Nota 2 3 3 3 8" xfId="5726" xr:uid="{7B9F1B0E-D8E5-4791-AD97-20DA64EACAD9}"/>
    <cellStyle name="Nota 2 3 3 3 9" xfId="7542" xr:uid="{418A50D6-93C0-40C2-9146-A223A5168585}"/>
    <cellStyle name="Nota 2 3 3 4" xfId="586" xr:uid="{7BC283C8-165C-4A53-AFBF-3DBD5DA213B4}"/>
    <cellStyle name="Nota 2 3 3 4 2" xfId="2044" xr:uid="{C43581C4-664A-4661-AB4B-4F29FB566DF5}"/>
    <cellStyle name="Nota 2 3 3 4 2 2" xfId="4358" xr:uid="{B8E6174E-B7BC-404A-857B-D7233F73D696}"/>
    <cellStyle name="Nota 2 3 3 4 2 3" xfId="6399" xr:uid="{E9CE269B-D32E-4531-9163-D53A7810DF1A}"/>
    <cellStyle name="Nota 2 3 3 4 2 4" xfId="7967" xr:uid="{A14C9DB0-AF29-44C9-8618-7D5A1A1E0635}"/>
    <cellStyle name="Nota 2 3 3 4 3" xfId="2496" xr:uid="{92FCA03E-26C6-4BEA-A7AA-967B078938CF}"/>
    <cellStyle name="Nota 2 3 3 4 3 2" xfId="4810" xr:uid="{6668C28F-417F-4062-B8F6-E8B7948BB626}"/>
    <cellStyle name="Nota 2 3 3 4 3 3" xfId="6820" xr:uid="{8C42BAB3-B051-4B2C-AD48-4AD07C513861}"/>
    <cellStyle name="Nota 2 3 3 4 3 4" xfId="8247" xr:uid="{CE329A54-E9C3-45E5-BD97-B0E0A4F2952A}"/>
    <cellStyle name="Nota 2 3 3 4 4" xfId="2901" xr:uid="{09AD2605-82E5-461C-A5D0-1FAFBCD51191}"/>
    <cellStyle name="Nota 2 3 3 4 4 2" xfId="5215" xr:uid="{4C0C8E86-60F6-4C41-BC06-F351871E8924}"/>
    <cellStyle name="Nota 2 3 3 4 4 3" xfId="7209" xr:uid="{1CAF9EAE-BFAC-4B02-BC0D-9F932A7496CB}"/>
    <cellStyle name="Nota 2 3 3 4 4 4" xfId="8505" xr:uid="{CF3584DD-D4AB-411B-B229-7A6E3AE3669D}"/>
    <cellStyle name="Nota 2 3 3 4 5" xfId="3119" xr:uid="{E1F175C6-656E-49D6-BC1A-17CBA0E87B6A}"/>
    <cellStyle name="Nota 2 3 3 4 5 2" xfId="5433" xr:uid="{1FF4D04F-ABF4-45D3-9F8A-1BC10C31BEE5}"/>
    <cellStyle name="Nota 2 3 3 4 5 3" xfId="7427" xr:uid="{93D38BAB-466B-4F89-AAD1-0ABBD2229DB8}"/>
    <cellStyle name="Nota 2 3 3 4 5 4" xfId="8671" xr:uid="{7A83958C-0E94-42DB-B567-027AEB5BB133}"/>
    <cellStyle name="Nota 2 3 3 4 6" xfId="1434" xr:uid="{C0D4BADC-7B6B-4B8B-ACE6-57A397776E2B}"/>
    <cellStyle name="Nota 2 3 3 4 7" xfId="3750" xr:uid="{FC26D9E7-F583-40D5-B53D-48D889B22222}"/>
    <cellStyle name="Nota 2 3 3 4 8" xfId="5840" xr:uid="{C94F9183-52F6-4C89-9524-B1F4DED710C9}"/>
    <cellStyle name="Nota 2 3 3 4 9" xfId="7596" xr:uid="{B063BBB8-9DF4-4715-A1B3-3A4C22B63076}"/>
    <cellStyle name="Nota 2 3 3 5" xfId="601" xr:uid="{6DC829C4-A564-4159-BCBC-DC774512926F}"/>
    <cellStyle name="Nota 2 3 3 5 2" xfId="2059" xr:uid="{4DDF59E9-8D61-4949-9805-788F46898985}"/>
    <cellStyle name="Nota 2 3 3 5 2 2" xfId="4373" xr:uid="{FB591D23-27AB-4D4B-AE65-B42FD707240A}"/>
    <cellStyle name="Nota 2 3 3 5 2 3" xfId="6414" xr:uid="{7E43372F-6C1E-419D-9D11-555EA68DEA38}"/>
    <cellStyle name="Nota 2 3 3 5 2 4" xfId="7975" xr:uid="{BE6A40F7-8C9A-4403-9371-243061DD52EC}"/>
    <cellStyle name="Nota 2 3 3 5 3" xfId="2511" xr:uid="{98E3A0C0-FFA8-4131-A02A-D4CF75A45D51}"/>
    <cellStyle name="Nota 2 3 3 5 3 2" xfId="4825" xr:uid="{FE43493C-7E4B-4DD2-BF65-B85C9BC6CA4B}"/>
    <cellStyle name="Nota 2 3 3 5 3 3" xfId="6835" xr:uid="{09B764F7-7DDD-4007-87E9-7AFA564525FB}"/>
    <cellStyle name="Nota 2 3 3 5 3 4" xfId="8255" xr:uid="{032997C2-380C-4755-B195-B711ED4EC4ED}"/>
    <cellStyle name="Nota 2 3 3 5 4" xfId="2916" xr:uid="{A9C43A02-87CC-4A57-9718-67C173AD3C12}"/>
    <cellStyle name="Nota 2 3 3 5 4 2" xfId="5230" xr:uid="{03E6F0D2-5690-49A0-B54F-504A07B10ACB}"/>
    <cellStyle name="Nota 2 3 3 5 4 3" xfId="7224" xr:uid="{3BD6E015-2994-49E0-8546-F77216BC2986}"/>
    <cellStyle name="Nota 2 3 3 5 4 4" xfId="8513" xr:uid="{ACEE7E33-3B88-4D35-8C09-A432416A1D50}"/>
    <cellStyle name="Nota 2 3 3 5 5" xfId="3127" xr:uid="{E88962FB-97C6-4EB1-8F90-157BADEAA442}"/>
    <cellStyle name="Nota 2 3 3 5 5 2" xfId="5441" xr:uid="{CE04A58B-ACC4-430F-A689-88BACC45ABB3}"/>
    <cellStyle name="Nota 2 3 3 5 5 3" xfId="7435" xr:uid="{7906BB54-1596-4252-B148-741BAFBF2316}"/>
    <cellStyle name="Nota 2 3 3 5 5 4" xfId="8679" xr:uid="{E735E280-1034-4E36-900F-E0CFA45C15ED}"/>
    <cellStyle name="Nota 2 3 3 5 6" xfId="1449" xr:uid="{350F4B39-EDB5-4CF6-8C6F-DD1293A48CF7}"/>
    <cellStyle name="Nota 2 3 3 5 7" xfId="3765" xr:uid="{D278974B-6539-4ADA-8864-3354E4053B35}"/>
    <cellStyle name="Nota 2 3 3 5 8" xfId="5855" xr:uid="{A00BDCF1-D111-45C2-A0A4-67F9EBC1B885}"/>
    <cellStyle name="Nota 2 3 3 5 9" xfId="7604" xr:uid="{6C30FF31-4D23-4854-BA16-765A2149A46A}"/>
    <cellStyle name="Nota 2 3 3 6" xfId="1675" xr:uid="{04165628-3C65-4264-8A10-66F2802D7385}"/>
    <cellStyle name="Nota 2 3 3 6 2" xfId="3989" xr:uid="{F6CE065E-6D44-477B-AEA7-72894BE0D84E}"/>
    <cellStyle name="Nota 2 3 3 6 3" xfId="6045" xr:uid="{CFE6BE80-04AA-4666-8A5C-11461EE4973D}"/>
    <cellStyle name="Nota 2 3 3 6 4" xfId="7758" xr:uid="{85551E76-0312-4494-B5F4-8B727DB6D30A}"/>
    <cellStyle name="Nota 2 3 3 7" xfId="1788" xr:uid="{6F1C4FB8-2194-4AA3-9434-96D880F26DFA}"/>
    <cellStyle name="Nota 2 3 3 7 2" xfId="4102" xr:uid="{B203C497-38DC-4F00-AE63-535F44B1EC83}"/>
    <cellStyle name="Nota 2 3 3 7 3" xfId="6151" xr:uid="{87BE9E71-DF96-4B17-B68E-7E341A797021}"/>
    <cellStyle name="Nota 2 3 3 7 4" xfId="7826" xr:uid="{7AF37657-C694-4893-B707-D1B43FCF7A79}"/>
    <cellStyle name="Nota 2 3 3 8" xfId="2251" xr:uid="{6E614699-454B-45EA-BA6C-263F8B9056F4}"/>
    <cellStyle name="Nota 2 3 3 8 2" xfId="4565" xr:uid="{5C60C5F6-50F6-4DBC-B9ED-804A69F02391}"/>
    <cellStyle name="Nota 2 3 3 8 3" xfId="6587" xr:uid="{9B067BBA-6899-4299-A405-9181C5D89BD6}"/>
    <cellStyle name="Nota 2 3 3 8 4" xfId="8111" xr:uid="{D5AE4072-44CA-4721-B036-88AAF6886004}"/>
    <cellStyle name="Nota 2 3 3 9" xfId="992" xr:uid="{0AF54BE5-0910-4AE9-BA2E-D7A56121F012}"/>
    <cellStyle name="Nota 2 3 4" xfId="211" xr:uid="{E1ED02B5-B0A1-4B47-9E7D-A409095D3224}"/>
    <cellStyle name="Nota 2 3 4 10" xfId="5553" xr:uid="{BB0764C3-A85D-4BA5-87E2-CA670863D23D}"/>
    <cellStyle name="Nota 2 3 4 11" xfId="794" xr:uid="{6C00D4FA-ED77-4D4F-8FDA-73CF353B02C8}"/>
    <cellStyle name="Nota 2 3 4 2" xfId="610" xr:uid="{BB47C1AD-D9FF-4E98-9C70-59D77E323609}"/>
    <cellStyle name="Nota 2 3 4 2 2" xfId="2068" xr:uid="{74151869-526A-48BA-A5EE-CBE34231C256}"/>
    <cellStyle name="Nota 2 3 4 2 2 2" xfId="4382" xr:uid="{39B6F13D-6E27-4E4B-9FEF-1DB712E69C9A}"/>
    <cellStyle name="Nota 2 3 4 2 2 3" xfId="6422" xr:uid="{89B905CA-79C4-493F-8CB3-2508F1AE92E6}"/>
    <cellStyle name="Nota 2 3 4 2 2 4" xfId="7980" xr:uid="{65C023F3-049A-4CCE-B259-5B855D75B7AD}"/>
    <cellStyle name="Nota 2 3 4 2 3" xfId="2520" xr:uid="{A7469924-8054-4E96-A7BB-9B943C3FBC9A}"/>
    <cellStyle name="Nota 2 3 4 2 3 2" xfId="4834" xr:uid="{0D305161-F2E5-463E-B0FC-3CD164EB9045}"/>
    <cellStyle name="Nota 2 3 4 2 3 3" xfId="6843" xr:uid="{5C60833C-815B-4059-8131-CDEA1E321FD4}"/>
    <cellStyle name="Nota 2 3 4 2 3 4" xfId="8260" xr:uid="{86BDAFD0-20E5-48A5-8B84-C486351D01F0}"/>
    <cellStyle name="Nota 2 3 4 2 4" xfId="2923" xr:uid="{68A96875-A388-456F-B57A-3F7971C7D709}"/>
    <cellStyle name="Nota 2 3 4 2 4 2" xfId="5237" xr:uid="{22F95D3F-1D4B-4398-936C-5B975830F616}"/>
    <cellStyle name="Nota 2 3 4 2 4 3" xfId="7231" xr:uid="{F98EB80F-29D6-42D8-AB97-B52D8B1EBE66}"/>
    <cellStyle name="Nota 2 3 4 2 4 4" xfId="8516" xr:uid="{19EB658A-12C4-46FD-872C-70FD1F92F73B}"/>
    <cellStyle name="Nota 2 3 4 2 5" xfId="3130" xr:uid="{0D72FAF5-5166-4596-9276-17A046315973}"/>
    <cellStyle name="Nota 2 3 4 2 5 2" xfId="5444" xr:uid="{E3B65B55-5E71-43FE-B487-50DECF58AE39}"/>
    <cellStyle name="Nota 2 3 4 2 5 3" xfId="7438" xr:uid="{EC71E6A9-1E7B-41BB-9FF3-2A2D85F643E7}"/>
    <cellStyle name="Nota 2 3 4 2 5 4" xfId="8682" xr:uid="{2F9C3B7B-D54B-4E01-907E-9F2B5D1956B2}"/>
    <cellStyle name="Nota 2 3 4 2 6" xfId="1458" xr:uid="{24D7488F-5ACB-43D2-9AB9-7515E1B27C83}"/>
    <cellStyle name="Nota 2 3 4 2 7" xfId="3774" xr:uid="{FE5CDED9-6C06-42B8-8440-8154B9634B61}"/>
    <cellStyle name="Nota 2 3 4 2 8" xfId="5863" xr:uid="{E488E089-836C-4F13-86B4-AC2D8EBE75FD}"/>
    <cellStyle name="Nota 2 3 4 2 9" xfId="7609" xr:uid="{B6EF3B6A-F2AD-4C3D-B702-753CD6538D32}"/>
    <cellStyle name="Nota 2 3 4 3" xfId="464" xr:uid="{DBFDB8D9-1F31-41DB-BFE5-28DA83B77117}"/>
    <cellStyle name="Nota 2 3 4 3 2" xfId="1931" xr:uid="{194CC47B-E14B-40A7-AA29-41D79DCD722B}"/>
    <cellStyle name="Nota 2 3 4 3 2 2" xfId="4245" xr:uid="{FBFFC4B4-DF78-42D8-AE72-B39156ACEBD4}"/>
    <cellStyle name="Nota 2 3 4 3 2 3" xfId="6290" xr:uid="{D7A02A57-E485-4E63-AA5E-53232EE851C6}"/>
    <cellStyle name="Nota 2 3 4 3 2 4" xfId="7910" xr:uid="{B82405D6-8817-44E4-8A73-725FC5B4EFCE}"/>
    <cellStyle name="Nota 2 3 4 3 3" xfId="2386" xr:uid="{8FD4EB47-ADE0-41AC-8620-3211314B075C}"/>
    <cellStyle name="Nota 2 3 4 3 3 2" xfId="4700" xr:uid="{F0D76A46-0E62-42DB-B81E-F266E34CFA53}"/>
    <cellStyle name="Nota 2 3 4 3 3 3" xfId="6713" xr:uid="{DF477757-D7EC-4B23-8962-F53A9059FA95}"/>
    <cellStyle name="Nota 2 3 4 3 3 4" xfId="8191" xr:uid="{F465319D-9535-424F-93B8-6CD3BF254345}"/>
    <cellStyle name="Nota 2 3 4 3 4" xfId="2797" xr:uid="{000AFB27-4230-4C81-95E1-AA131C754C2A}"/>
    <cellStyle name="Nota 2 3 4 3 4 2" xfId="5111" xr:uid="{ED5C8ACD-90F4-4533-A79E-C299919D7666}"/>
    <cellStyle name="Nota 2 3 4 3 4 3" xfId="7105" xr:uid="{8ED0CCDD-2959-4936-875C-D65EE0D2FA5B}"/>
    <cellStyle name="Nota 2 3 4 3 4 4" xfId="8455" xr:uid="{DC702842-221E-4197-B385-068D52D2D456}"/>
    <cellStyle name="Nota 2 3 4 3 5" xfId="3077" xr:uid="{0C62D667-F090-464D-AB99-101B3A0FFAB2}"/>
    <cellStyle name="Nota 2 3 4 3 5 2" xfId="5391" xr:uid="{660AD0FB-2E81-4CC8-9D26-A5C55F3578F0}"/>
    <cellStyle name="Nota 2 3 4 3 5 3" xfId="7385" xr:uid="{F30EFDCC-5739-487D-B5D7-6CC7AB5C4738}"/>
    <cellStyle name="Nota 2 3 4 3 5 4" xfId="8629" xr:uid="{B2F10BAB-552F-4742-A1DD-2FF0BE9B4D70}"/>
    <cellStyle name="Nota 2 3 4 3 6" xfId="1312" xr:uid="{0664C2D5-4705-4826-9759-F236438F3A37}"/>
    <cellStyle name="Nota 2 3 4 3 7" xfId="3636" xr:uid="{AFBE3B46-AE9E-46C7-A635-87F75CB6A6C8}"/>
    <cellStyle name="Nota 2 3 4 3 8" xfId="5734" xr:uid="{828DEDBB-17AB-4ADC-9317-B66235836C44}"/>
    <cellStyle name="Nota 2 3 4 3 9" xfId="7547" xr:uid="{78B73A0C-E5EE-4837-BEC9-D9EF8AFE6892}"/>
    <cellStyle name="Nota 2 3 4 4" xfId="1719" xr:uid="{3EE0DD7B-B4FC-48D3-8EE9-035531DE9568}"/>
    <cellStyle name="Nota 2 3 4 4 2" xfId="4033" xr:uid="{519FEFAA-302C-4CBA-92CC-E1187B0C0020}"/>
    <cellStyle name="Nota 2 3 4 4 3" xfId="6087" xr:uid="{1A466FA6-5D54-40BF-8589-9609AFA4B0AE}"/>
    <cellStyle name="Nota 2 3 4 4 4" xfId="7781" xr:uid="{01C35139-973C-4073-8631-43A3452AE15D}"/>
    <cellStyle name="Nota 2 3 4 5" xfId="1633" xr:uid="{3E3B163D-AD19-4901-9445-D775F05807D7}"/>
    <cellStyle name="Nota 2 3 4 5 2" xfId="3947" xr:uid="{1FDECF8B-CFFF-45F7-A061-BCA054B9C8AB}"/>
    <cellStyle name="Nota 2 3 4 5 3" xfId="6007" xr:uid="{FE7A6F3B-B496-48F9-AF4D-D5D3F2553856}"/>
    <cellStyle name="Nota 2 3 4 5 4" xfId="7730" xr:uid="{32B685FC-6A01-4384-8E30-62311AB719DF}"/>
    <cellStyle name="Nota 2 3 4 6" xfId="2338" xr:uid="{00281785-3C57-4FEC-AEAE-6B0B41D6313D}"/>
    <cellStyle name="Nota 2 3 4 6 2" xfId="4652" xr:uid="{4DE732C4-FCE1-4E3E-9D00-C3CCF0951246}"/>
    <cellStyle name="Nota 2 3 4 6 3" xfId="6667" xr:uid="{F411A640-F685-4221-A5F9-B03D8827D4B3}"/>
    <cellStyle name="Nota 2 3 4 6 4" xfId="8159" xr:uid="{0DF9FA97-79BA-4FFE-BB91-6AA09F1E87BD}"/>
    <cellStyle name="Nota 2 3 4 7" xfId="1712" xr:uid="{E573D402-09B9-4391-9E12-12A26758A066}"/>
    <cellStyle name="Nota 2 3 4 7 2" xfId="4026" xr:uid="{11DAE917-D2C8-4E7F-A355-9BA4AA6A95F3}"/>
    <cellStyle name="Nota 2 3 4 7 3" xfId="6080" xr:uid="{8EFC6985-7ECE-4743-A449-5C8E78947C9D}"/>
    <cellStyle name="Nota 2 3 4 7 4" xfId="7776" xr:uid="{3F61407F-B70F-4624-B5C8-8A1697A5BB50}"/>
    <cellStyle name="Nota 2 3 4 8" xfId="1059" xr:uid="{E4760A1C-ED46-4682-B204-97C3409678B7}"/>
    <cellStyle name="Nota 2 3 4 9" xfId="3418" xr:uid="{68BFE9C2-4E5E-4A50-B5FA-153F8A532680}"/>
    <cellStyle name="Nota 2 3 5" xfId="380" xr:uid="{36822748-0A06-4173-A876-69B5786DD1FD}"/>
    <cellStyle name="Nota 2 3 5 2" xfId="1862" xr:uid="{948C416A-AB39-4FDD-A434-95981375F512}"/>
    <cellStyle name="Nota 2 3 5 2 2" xfId="4176" xr:uid="{B0D0E110-88C9-4CAC-8141-DA92858D7438}"/>
    <cellStyle name="Nota 2 3 5 2 3" xfId="6224" xr:uid="{393E5976-2F39-4695-A7C1-4075134D74A1}"/>
    <cellStyle name="Nota 2 3 5 2 4" xfId="7862" xr:uid="{96B39140-CC96-42B8-BEE0-AD97AC397F38}"/>
    <cellStyle name="Nota 2 3 5 3" xfId="2319" xr:uid="{9B0494CC-33F8-45D1-8F94-8B3E1981360B}"/>
    <cellStyle name="Nota 2 3 5 3 2" xfId="4633" xr:uid="{28F959D6-D424-4278-8CAF-ECB72EEC1DEA}"/>
    <cellStyle name="Nota 2 3 5 3 3" xfId="6652" xr:uid="{BB398C2D-C772-487F-8A3B-02EF2BAA64EE}"/>
    <cellStyle name="Nota 2 3 5 3 4" xfId="8145" xr:uid="{42CDF7A1-7F93-4DD6-923C-2DE892084741}"/>
    <cellStyle name="Nota 2 3 5 4" xfId="2741" xr:uid="{5FCFD600-A813-47D0-9EF1-95F57A94CDF0}"/>
    <cellStyle name="Nota 2 3 5 4 2" xfId="5055" xr:uid="{885CFEF2-33C1-444D-88F6-E4EB9B2D47DC}"/>
    <cellStyle name="Nota 2 3 5 4 3" xfId="7049" xr:uid="{D434AAF3-5A10-4E17-B1B3-6B7E11AFC4F4}"/>
    <cellStyle name="Nota 2 3 5 4 4" xfId="8418" xr:uid="{3D1A0300-4292-4C73-A737-EBE66878A073}"/>
    <cellStyle name="Nota 2 3 5 5" xfId="3049" xr:uid="{374CF035-7CA7-4FC1-9B88-8E75FD5C6E58}"/>
    <cellStyle name="Nota 2 3 5 5 2" xfId="5363" xr:uid="{FFCD7490-4350-49A2-979B-3F103FAC1903}"/>
    <cellStyle name="Nota 2 3 5 5 3" xfId="7357" xr:uid="{3643337F-D03B-4682-A3B0-493A17A8C721}"/>
    <cellStyle name="Nota 2 3 5 5 4" xfId="8601" xr:uid="{8EF16E61-C102-466F-B603-366D97CDD197}"/>
    <cellStyle name="Nota 2 3 5 6" xfId="1228" xr:uid="{5306FD15-33DC-431D-881D-AA020A3F4DA4}"/>
    <cellStyle name="Nota 2 3 5 7" xfId="3563" xr:uid="{0B4A8D42-B11A-4F8E-B022-EC695143F56A}"/>
    <cellStyle name="Nota 2 3 5 8" xfId="5679" xr:uid="{9B53DA41-5CD5-4962-A4F6-05C5D38CDE9E}"/>
    <cellStyle name="Nota 2 3 5 9" xfId="3302" xr:uid="{D1554D43-40CF-4A36-AFBD-E4BE16D1C3A2}"/>
    <cellStyle name="Nota 2 3 6" xfId="912" xr:uid="{E2BBF3B8-2077-4909-9BD0-4809E6CEE3FA}"/>
    <cellStyle name="Nota 2 3 6 2" xfId="3294" xr:uid="{32E045C8-AFE6-404D-AD71-0054BBAE6EB5}"/>
    <cellStyle name="Nota 2 3 6 3" xfId="3273" xr:uid="{1152C079-7F54-41C1-9E4A-00E2F69643B9}"/>
    <cellStyle name="Nota 2 3 6 4" xfId="6093" xr:uid="{9118B4F9-31D1-4813-83E1-60A5AE042A61}"/>
    <cellStyle name="Nota 2 3 7" xfId="809" xr:uid="{03904F33-2EAB-4223-BD35-17CA1E061677}"/>
    <cellStyle name="Nota 2 3 8" xfId="793" xr:uid="{70247196-BF70-41B1-BC6B-108BDAAD78AF}"/>
    <cellStyle name="Nota 2 3 9" xfId="835" xr:uid="{D0DE5ED6-B6F9-469E-9D10-D6E59D7DF96F}"/>
    <cellStyle name="Nota 2 4" xfId="59" xr:uid="{00000000-0005-0000-0000-000030000000}"/>
    <cellStyle name="Nota 2 4 10" xfId="6685" xr:uid="{DFC0CE9B-6DE1-4595-A75F-19F84F90E591}"/>
    <cellStyle name="Nota 2 4 2" xfId="109" xr:uid="{EB3F23A3-8482-4211-9588-EF5F3034F438}"/>
    <cellStyle name="Nota 2 4 2 10" xfId="1671" xr:uid="{2DA37534-9C45-4A49-8543-84569C8948C4}"/>
    <cellStyle name="Nota 2 4 2 10 2" xfId="3985" xr:uid="{6D4753E3-F63A-4A00-B78F-AAA757285AC7}"/>
    <cellStyle name="Nota 2 4 2 10 3" xfId="6041" xr:uid="{5BB4A443-4FE0-4821-B83A-88D85385ECD4}"/>
    <cellStyle name="Nota 2 4 2 10 4" xfId="7756" xr:uid="{BCDD3209-0253-41D9-AF5F-6F4624D79377}"/>
    <cellStyle name="Nota 2 4 2 11" xfId="859" xr:uid="{0233D2D7-15F8-42D3-B40A-70E11BB8F7E6}"/>
    <cellStyle name="Nota 2 4 2 12" xfId="3248" xr:uid="{70CAE7E0-9AF7-42C8-B180-40F8AB3EB2D7}"/>
    <cellStyle name="Nota 2 4 2 13" xfId="5861" xr:uid="{665A4206-EBB9-4134-BA8A-0D49F26E894F}"/>
    <cellStyle name="Nota 2 4 2 2" xfId="181" xr:uid="{57B83BDE-6BA1-4DBE-BFA1-EA3DFE2FEE55}"/>
    <cellStyle name="Nota 2 4 2 2 2" xfId="318" xr:uid="{2E556ABD-92A0-401C-99EE-2B441FDCCF00}"/>
    <cellStyle name="Nota 2 4 2 2 2 10" xfId="5629" xr:uid="{459D2EC8-CDBB-450D-8ED9-AC4AC43278CA}"/>
    <cellStyle name="Nota 2 4 2 2 2 11" xfId="5564" xr:uid="{B3F4787C-B819-462F-9593-A0408C9D3003}"/>
    <cellStyle name="Nota 2 4 2 2 2 2" xfId="677" xr:uid="{BA4F399B-EBBC-4863-8E56-B915A4314C8D}"/>
    <cellStyle name="Nota 2 4 2 2 2 2 2" xfId="2135" xr:uid="{8208A00A-6EE7-47E8-B88B-3FD9DF102308}"/>
    <cellStyle name="Nota 2 4 2 2 2 2 2 2" xfId="4449" xr:uid="{5CB14DFB-0A48-4595-ABA0-60BD1504AF0F}"/>
    <cellStyle name="Nota 2 4 2 2 2 2 2 3" xfId="6474" xr:uid="{C3A9B9B5-F130-49CB-842D-970D29BEAC2A}"/>
    <cellStyle name="Nota 2 4 2 2 2 2 2 4" xfId="8043" xr:uid="{B3003249-9886-46A5-8E0D-F7BF4AD1A12B}"/>
    <cellStyle name="Nota 2 4 2 2 2 2 3" xfId="2587" xr:uid="{D3469929-5AD5-4F34-B431-5329B41FA277}"/>
    <cellStyle name="Nota 2 4 2 2 2 2 3 2" xfId="4901" xr:uid="{FE121F20-6854-4149-9D80-650F06486298}"/>
    <cellStyle name="Nota 2 4 2 2 2 2 3 3" xfId="6897" xr:uid="{B75A0E60-5403-4E32-BD71-9AA8A646AE5B}"/>
    <cellStyle name="Nota 2 4 2 2 2 2 3 4" xfId="8323" xr:uid="{BE7B5E0C-64BC-48B8-A45C-3ECEC42D048E}"/>
    <cellStyle name="Nota 2 4 2 2 2 2 4" xfId="2968" xr:uid="{10EACCF7-A5E5-4532-9EC8-8A266DCEBCDB}"/>
    <cellStyle name="Nota 2 4 2 2 2 2 4 2" xfId="5282" xr:uid="{288B8CC2-F907-4AEA-9027-99FAAAFE1B0A}"/>
    <cellStyle name="Nota 2 4 2 2 2 2 4 3" xfId="7276" xr:uid="{08C39D40-9A4E-44DC-AD90-105F2F0DFD86}"/>
    <cellStyle name="Nota 2 4 2 2 2 2 4 4" xfId="8557" xr:uid="{EA01DA6C-99F3-41F4-AC2A-23C522A7374E}"/>
    <cellStyle name="Nota 2 4 2 2 2 2 5" xfId="3169" xr:uid="{D97015A2-C8E3-4B17-A149-9BA8FF9AEF42}"/>
    <cellStyle name="Nota 2 4 2 2 2 2 5 2" xfId="5483" xr:uid="{BD62E95A-1828-48ED-8B98-28CD54E3398B}"/>
    <cellStyle name="Nota 2 4 2 2 2 2 5 3" xfId="7477" xr:uid="{D66C876E-5AE2-432A-B1AC-A9A1744CAD35}"/>
    <cellStyle name="Nota 2 4 2 2 2 2 5 4" xfId="8721" xr:uid="{EF0E1CDC-5A59-4095-AE73-01F86FDADAFD}"/>
    <cellStyle name="Nota 2 4 2 2 2 2 6" xfId="1525" xr:uid="{B40DAD80-D0BF-488D-92C3-10D697A2E170}"/>
    <cellStyle name="Nota 2 4 2 2 2 2 7" xfId="3841" xr:uid="{8090016F-34DB-491A-B39A-B25FA0721441}"/>
    <cellStyle name="Nota 2 4 2 2 2 2 8" xfId="5913" xr:uid="{1E579C09-5976-4D97-890F-A3E9E8FFC805}"/>
    <cellStyle name="Nota 2 4 2 2 2 2 9" xfId="7672" xr:uid="{9D05EE77-F1A7-44E5-B428-D1CBB4C6CE90}"/>
    <cellStyle name="Nota 2 4 2 2 2 3" xfId="749" xr:uid="{3793C1C1-358B-4B3D-AC12-42F4F11D1FC8}"/>
    <cellStyle name="Nota 2 4 2 2 2 3 2" xfId="2207" xr:uid="{714480E9-2563-4FD5-9E75-D72E9018B3AF}"/>
    <cellStyle name="Nota 2 4 2 2 2 3 2 2" xfId="4521" xr:uid="{C329051A-A6A6-4AE7-A7DE-C1210A56C148}"/>
    <cellStyle name="Nota 2 4 2 2 2 3 2 3" xfId="6543" xr:uid="{0BBD396B-69D0-4023-A42C-2CB7F8452D66}"/>
    <cellStyle name="Nota 2 4 2 2 2 3 2 4" xfId="8084" xr:uid="{096FFC98-0FB7-4058-ABB9-B719C67EE1BA}"/>
    <cellStyle name="Nota 2 4 2 2 2 3 3" xfId="2659" xr:uid="{D6F0EDE9-A4CD-46CD-B59A-38353D322F7A}"/>
    <cellStyle name="Nota 2 4 2 2 2 3 3 2" xfId="4973" xr:uid="{FD2E9A18-E169-4EA4-8D41-41548387BEFC}"/>
    <cellStyle name="Nota 2 4 2 2 2 3 3 3" xfId="6967" xr:uid="{FDE0A27D-6F99-4964-AC49-C445841B7183}"/>
    <cellStyle name="Nota 2 4 2 2 2 3 3 4" xfId="8364" xr:uid="{4A1DB08A-6F8A-4BC5-9D56-71A8458A1DBC}"/>
    <cellStyle name="Nota 2 4 2 2 2 3 4" xfId="3034" xr:uid="{8058C8B2-BCAA-483E-B230-457277E03B3D}"/>
    <cellStyle name="Nota 2 4 2 2 2 3 4 2" xfId="5348" xr:uid="{68F8D196-730A-4B43-A392-7504737D9518}"/>
    <cellStyle name="Nota 2 4 2 2 2 3 4 3" xfId="7342" xr:uid="{7FD483F5-0127-4EBC-8650-64B918B92E48}"/>
    <cellStyle name="Nota 2 4 2 2 2 3 4 4" xfId="8592" xr:uid="{A5AE6F9A-EFB1-483E-BD9E-B2C551E98363}"/>
    <cellStyle name="Nota 2 4 2 2 2 3 5" xfId="3204" xr:uid="{044655C2-1DAE-4E7D-A078-1DD23DFE0CEB}"/>
    <cellStyle name="Nota 2 4 2 2 2 3 5 2" xfId="5518" xr:uid="{10865928-FFBF-4D57-B5B3-7AE0DC93CC2B}"/>
    <cellStyle name="Nota 2 4 2 2 2 3 5 3" xfId="7512" xr:uid="{B1DEB856-7BE2-45F8-894B-94E272DE9F6E}"/>
    <cellStyle name="Nota 2 4 2 2 2 3 5 4" xfId="8756" xr:uid="{1EC8515D-008C-4517-86A2-BDC5AB1737E3}"/>
    <cellStyle name="Nota 2 4 2 2 2 3 6" xfId="1597" xr:uid="{B6FB06FE-F84D-41A3-9EA7-D537F9D47B5C}"/>
    <cellStyle name="Nota 2 4 2 2 2 3 7" xfId="3913" xr:uid="{DECAC209-627A-4651-9A7C-8CC456374974}"/>
    <cellStyle name="Nota 2 4 2 2 2 3 8" xfId="5980" xr:uid="{432E7CEF-AEC0-4364-9A78-6861F2A661CE}"/>
    <cellStyle name="Nota 2 4 2 2 2 3 9" xfId="7713" xr:uid="{EE0D070A-A217-468C-81E7-23B40362B5BB}"/>
    <cellStyle name="Nota 2 4 2 2 2 4" xfId="1808" xr:uid="{FB3A8ECD-C18A-48BB-8760-A91A007C27E9}"/>
    <cellStyle name="Nota 2 4 2 2 2 4 2" xfId="4122" xr:uid="{739DA676-0965-43F1-8D45-421F7FBD9FC6}"/>
    <cellStyle name="Nota 2 4 2 2 2 4 3" xfId="6171" xr:uid="{02F6FCA7-EC3F-4C8F-8772-AA2CD1A42BB1}"/>
    <cellStyle name="Nota 2 4 2 2 2 4 4" xfId="7837" xr:uid="{BCC439AE-A7F4-4781-8D04-F1C89FBDA59D}"/>
    <cellStyle name="Nota 2 4 2 2 2 5" xfId="2265" xr:uid="{DA47F471-35A6-42E2-BF66-0F67416EF5F9}"/>
    <cellStyle name="Nota 2 4 2 2 2 5 2" xfId="4579" xr:uid="{22769894-7A43-4781-B496-F710FC302DA9}"/>
    <cellStyle name="Nota 2 4 2 2 2 5 3" xfId="6601" xr:uid="{3D625DEE-D2C0-4345-B204-44FCDC2D3CCD}"/>
    <cellStyle name="Nota 2 4 2 2 2 5 4" xfId="8120" xr:uid="{E9A4B0F6-BED0-4764-877F-9A70D55B96B1}"/>
    <cellStyle name="Nota 2 4 2 2 2 6" xfId="2700" xr:uid="{F376AA3D-59E8-42B2-B13C-75D33B0BE11D}"/>
    <cellStyle name="Nota 2 4 2 2 2 6 2" xfId="5014" xr:uid="{ACB436F1-E6FF-4CC4-A571-08117E2B7D81}"/>
    <cellStyle name="Nota 2 4 2 2 2 6 3" xfId="7008" xr:uid="{55485EA4-545F-45AA-83B4-6F1B896E32D0}"/>
    <cellStyle name="Nota 2 4 2 2 2 6 4" xfId="8399" xr:uid="{A68BA6D7-E7B4-4FD6-8EA5-5579D1FC8AAB}"/>
    <cellStyle name="Nota 2 4 2 2 2 7" xfId="2348" xr:uid="{1B755F10-11B0-42CA-B376-0F9E3CF205EE}"/>
    <cellStyle name="Nota 2 4 2 2 2 7 2" xfId="4662" xr:uid="{5F04D114-68BB-4650-8C6F-A48E5D691761}"/>
    <cellStyle name="Nota 2 4 2 2 2 7 3" xfId="6677" xr:uid="{B41B5E3E-289F-467E-AF62-27571430B9CC}"/>
    <cellStyle name="Nota 2 4 2 2 2 7 4" xfId="8166" xr:uid="{FEA18284-5DED-4D34-B957-4DE31B852EEF}"/>
    <cellStyle name="Nota 2 4 2 2 2 8" xfId="1166" xr:uid="{B9589F2F-7839-453A-88C3-F5607A6D2E03}"/>
    <cellStyle name="Nota 2 4 2 2 2 9" xfId="3508" xr:uid="{E68F683D-A338-4C4A-A70B-7A5DACC8BFD2}"/>
    <cellStyle name="Nota 2 4 2 2 3" xfId="492" xr:uid="{6A320A3E-C653-495A-953B-B3A9F88C7BAA}"/>
    <cellStyle name="Nota 2 4 2 2 3 2" xfId="1955" xr:uid="{2ED967F9-9730-49E1-9D9B-AA7A857408D2}"/>
    <cellStyle name="Nota 2 4 2 2 3 2 2" xfId="4269" xr:uid="{B686C9E7-2B82-4817-B91E-033EE37114C9}"/>
    <cellStyle name="Nota 2 4 2 2 3 2 3" xfId="6311" xr:uid="{BCB1FF09-C572-4540-AEB0-0415757468F5}"/>
    <cellStyle name="Nota 2 4 2 2 3 2 4" xfId="7927" xr:uid="{11971FD8-B0B5-4930-8403-464E92A5101C}"/>
    <cellStyle name="Nota 2 4 2 2 3 3" xfId="2408" xr:uid="{505F4FD4-3F8F-4109-8A58-43EB3D06E08F}"/>
    <cellStyle name="Nota 2 4 2 2 3 3 2" xfId="4722" xr:uid="{C3859F7C-D0D1-42C3-87F0-31B2A96513FD}"/>
    <cellStyle name="Nota 2 4 2 2 3 3 3" xfId="6734" xr:uid="{9A47894C-7DCF-4BBB-9BFC-1ECEF27F31E7}"/>
    <cellStyle name="Nota 2 4 2 2 3 3 4" xfId="8208" xr:uid="{F83B704D-2111-4AB5-914A-3F6D9D69116F}"/>
    <cellStyle name="Nota 2 4 2 2 3 4" xfId="2815" xr:uid="{5E0327EF-251D-4B2F-9FBE-8B2554921FEA}"/>
    <cellStyle name="Nota 2 4 2 2 3 4 2" xfId="5129" xr:uid="{AA14531C-AEE8-4085-8DC3-C9C9E4DB3C87}"/>
    <cellStyle name="Nota 2 4 2 2 3 4 3" xfId="7123" xr:uid="{810A8CC4-38DE-46E1-B6D1-2F8AA89EBDB9}"/>
    <cellStyle name="Nota 2 4 2 2 3 4 4" xfId="8468" xr:uid="{DC961F93-5C9C-4725-BC27-C5E4BAD90105}"/>
    <cellStyle name="Nota 2 4 2 2 3 5" xfId="3085" xr:uid="{357B4090-B32B-47E7-AE79-895D7B0641DB}"/>
    <cellStyle name="Nota 2 4 2 2 3 5 2" xfId="5399" xr:uid="{71FB498B-2509-4290-9223-107E81F89621}"/>
    <cellStyle name="Nota 2 4 2 2 3 5 3" xfId="7393" xr:uid="{91A441DD-535A-4F24-9C8A-8BA4B3EB978A}"/>
    <cellStyle name="Nota 2 4 2 2 3 5 4" xfId="8637" xr:uid="{94A8B5C0-64D1-4420-B9C6-64D71FB88EAB}"/>
    <cellStyle name="Nota 2 4 2 2 3 6" xfId="1340" xr:uid="{A2659060-D596-422C-B4F0-FA174B452867}"/>
    <cellStyle name="Nota 2 4 2 2 3 7" xfId="3659" xr:uid="{80EF5537-FEA7-4DED-84FD-00680E57CC25}"/>
    <cellStyle name="Nota 2 4 2 2 3 8" xfId="5752" xr:uid="{363FB64A-1D0E-4BC6-9318-00C6C57BF349}"/>
    <cellStyle name="Nota 2 4 2 2 3 9" xfId="7558" xr:uid="{4A262330-6927-4473-8591-2384BFF68E8A}"/>
    <cellStyle name="Nota 2 4 2 2 4" xfId="911" xr:uid="{1BB22668-5678-4804-A998-20CE27BE7F30}"/>
    <cellStyle name="Nota 2 4 2 2 4 2" xfId="3293" xr:uid="{5C033033-D6D1-48F4-B475-43CA86F325C8}"/>
    <cellStyle name="Nota 2 4 2 2 4 3" xfId="3280" xr:uid="{D7BFB81A-7AC5-40B2-8C7E-E50470D45A59}"/>
    <cellStyle name="Nota 2 4 2 2 4 4" xfId="6101" xr:uid="{AA6218BE-BFAE-4217-A3FA-46E2923CFF6D}"/>
    <cellStyle name="Nota 2 4 2 2 5" xfId="1029" xr:uid="{09434ECA-DC7A-469F-B5FA-76AE85F4F425}"/>
    <cellStyle name="Nota 2 4 2 2 6" xfId="3395" xr:uid="{D14CA051-64A0-4995-8AD0-4CA6E55438CA}"/>
    <cellStyle name="Nota 2 4 2 2 7" xfId="5534" xr:uid="{A1FFC317-A1DC-4B20-BDBE-626D847B0890}"/>
    <cellStyle name="Nota 2 4 2 2 8" xfId="3927" xr:uid="{D5E63909-B1E7-489A-B265-EB07E1CE7F01}"/>
    <cellStyle name="Nota 2 4 2 3" xfId="249" xr:uid="{DA756115-10C5-460D-B4BB-43FDC31D5062}"/>
    <cellStyle name="Nota 2 4 2 3 10" xfId="5577" xr:uid="{CB070861-958D-4B13-B218-7C17DDFD19FB}"/>
    <cellStyle name="Nota 2 4 2 3 11" xfId="3357" xr:uid="{BA2E13B6-EDAC-423A-BF6A-3D9DB5B25DD3}"/>
    <cellStyle name="Nota 2 4 2 3 2" xfId="631" xr:uid="{F3EC659E-7875-4B39-A797-1CB75B781FC8}"/>
    <cellStyle name="Nota 2 4 2 3 2 2" xfId="2089" xr:uid="{77F43441-FA67-4FB3-AC98-64E26F09E2AE}"/>
    <cellStyle name="Nota 2 4 2 3 2 2 2" xfId="4403" xr:uid="{55B687AC-C319-48ED-8F64-3F74B51D85D1}"/>
    <cellStyle name="Nota 2 4 2 3 2 2 3" xfId="6441" xr:uid="{C58E27D9-F84D-49D4-A810-3A12225B3866}"/>
    <cellStyle name="Nota 2 4 2 3 2 2 4" xfId="8000" xr:uid="{8D6E4CB4-C04E-4AFC-9A9C-5D5A17E545FC}"/>
    <cellStyle name="Nota 2 4 2 3 2 3" xfId="2541" xr:uid="{F1FBB17C-780C-4C12-A583-07A4C592A504}"/>
    <cellStyle name="Nota 2 4 2 3 2 3 2" xfId="4855" xr:uid="{108210E8-5BE2-42A5-AFA4-EF304D26E52E}"/>
    <cellStyle name="Nota 2 4 2 3 2 3 3" xfId="6862" xr:uid="{4CF0DFE5-F6A1-4302-9F9D-E7D8AE76C300}"/>
    <cellStyle name="Nota 2 4 2 3 2 3 4" xfId="8280" xr:uid="{27059851-C263-424C-80AB-4A7BE86DE679}"/>
    <cellStyle name="Nota 2 4 2 3 2 4" xfId="2939" xr:uid="{4182C4B1-FC4D-4B77-8942-181D2FCE8FCE}"/>
    <cellStyle name="Nota 2 4 2 3 2 4 2" xfId="5253" xr:uid="{86264584-B98F-49B9-ACA5-B379EA070E4F}"/>
    <cellStyle name="Nota 2 4 2 3 2 4 3" xfId="7247" xr:uid="{87F686D7-EFE8-43F1-8554-9D740B4A9298}"/>
    <cellStyle name="Nota 2 4 2 3 2 4 4" xfId="8531" xr:uid="{C7DC7A26-E868-4DF3-9860-3570B7AD1CFE}"/>
    <cellStyle name="Nota 2 4 2 3 2 5" xfId="3145" xr:uid="{A76D7452-9B59-477C-BAD8-38E33F813E9D}"/>
    <cellStyle name="Nota 2 4 2 3 2 5 2" xfId="5459" xr:uid="{90393B90-434F-4E54-9B0C-292699C2A79B}"/>
    <cellStyle name="Nota 2 4 2 3 2 5 3" xfId="7453" xr:uid="{BA610236-211E-4D86-898C-759788003FE6}"/>
    <cellStyle name="Nota 2 4 2 3 2 5 4" xfId="8697" xr:uid="{7A39B570-48F6-46BD-94C9-E4D9EA47FB1D}"/>
    <cellStyle name="Nota 2 4 2 3 2 6" xfId="1479" xr:uid="{4D8F96CF-D0D9-450C-95DE-0081C93C6C95}"/>
    <cellStyle name="Nota 2 4 2 3 2 7" xfId="3795" xr:uid="{D43FAB40-89CB-4F05-BDEE-C1D7F8EF90FC}"/>
    <cellStyle name="Nota 2 4 2 3 2 8" xfId="5880" xr:uid="{29AC325E-4AFA-47E2-A456-13DDB953B70F}"/>
    <cellStyle name="Nota 2 4 2 3 2 9" xfId="7629" xr:uid="{1E76210A-5963-416F-BD7A-A8186E82E1B6}"/>
    <cellStyle name="Nota 2 4 2 3 3" xfId="707" xr:uid="{AF356835-8C1C-479A-8E3D-C11A051A1ADE}"/>
    <cellStyle name="Nota 2 4 2 3 3 2" xfId="2165" xr:uid="{078F1230-8DE3-4575-876A-42780B4630EB}"/>
    <cellStyle name="Nota 2 4 2 3 3 2 2" xfId="4479" xr:uid="{97136249-3903-4D49-B9E7-BFB8AE4F6E04}"/>
    <cellStyle name="Nota 2 4 2 3 3 2 3" xfId="6501" xr:uid="{F7F8CA04-AD78-430A-92B1-2B1C4F6E940E}"/>
    <cellStyle name="Nota 2 4 2 3 3 2 4" xfId="8063" xr:uid="{4F86B130-C787-41F5-8B2F-FADD727402E1}"/>
    <cellStyle name="Nota 2 4 2 3 3 3" xfId="2617" xr:uid="{926D7B69-A9C3-47FA-AC6A-FE6F86B8584B}"/>
    <cellStyle name="Nota 2 4 2 3 3 3 2" xfId="4931" xr:uid="{38FF9590-F32E-477B-B1B6-EAE4DBE9C55A}"/>
    <cellStyle name="Nota 2 4 2 3 3 3 3" xfId="6925" xr:uid="{E4ED863B-7EDE-400E-ACB8-9280523D3771}"/>
    <cellStyle name="Nota 2 4 2 3 3 3 4" xfId="8343" xr:uid="{60C8B542-204F-4D6C-BA4E-D163BE5D9ED8}"/>
    <cellStyle name="Nota 2 4 2 3 3 4" xfId="2992" xr:uid="{4F241D7A-D6F2-48D8-AC91-3D2FD8BB4607}"/>
    <cellStyle name="Nota 2 4 2 3 3 4 2" xfId="5306" xr:uid="{CB356D07-62B3-4B75-BEA1-F1A631B4FFBA}"/>
    <cellStyle name="Nota 2 4 2 3 3 4 3" xfId="7300" xr:uid="{8F623B11-6026-404D-B2B5-373CC4706E69}"/>
    <cellStyle name="Nota 2 4 2 3 3 4 4" xfId="8571" xr:uid="{239E2A74-8129-4816-9D92-54B39CEEFEB5}"/>
    <cellStyle name="Nota 2 4 2 3 3 5" xfId="3183" xr:uid="{F2442DD9-ED24-4CEC-B6BA-4A16FF780E50}"/>
    <cellStyle name="Nota 2 4 2 3 3 5 2" xfId="5497" xr:uid="{90A8551D-84F1-44B6-B24C-2165BF0BE543}"/>
    <cellStyle name="Nota 2 4 2 3 3 5 3" xfId="7491" xr:uid="{61BA1762-DBBE-41BC-A2B2-0774C8BE5EA6}"/>
    <cellStyle name="Nota 2 4 2 3 3 5 4" xfId="8735" xr:uid="{8302DB2C-D126-4335-B168-11764DCE10D7}"/>
    <cellStyle name="Nota 2 4 2 3 3 6" xfId="1555" xr:uid="{CC263AFC-FABB-4492-9DBE-EE177A12D39A}"/>
    <cellStyle name="Nota 2 4 2 3 3 7" xfId="3871" xr:uid="{DD06D35F-FF44-4ADD-AE8E-EFBB2D51CA5C}"/>
    <cellStyle name="Nota 2 4 2 3 3 8" xfId="5938" xr:uid="{D355B1C1-3849-4751-8C30-51C0DF502E47}"/>
    <cellStyle name="Nota 2 4 2 3 3 9" xfId="7692" xr:uid="{A245AD6A-AF87-4D37-B913-9C7A7256D31F}"/>
    <cellStyle name="Nota 2 4 2 3 4" xfId="1749" xr:uid="{F1564500-4222-426D-8214-4786E5BAE2E1}"/>
    <cellStyle name="Nota 2 4 2 3 4 2" xfId="4063" xr:uid="{C846560E-40FA-4DCA-BACF-E531E4713152}"/>
    <cellStyle name="Nota 2 4 2 3 4 3" xfId="6115" xr:uid="{31051CBF-D74A-4962-8001-C60D288AD799}"/>
    <cellStyle name="Nota 2 4 2 3 4 4" xfId="7802" xr:uid="{CE2E6658-462B-4CB0-BBE9-B34EA7CC665F}"/>
    <cellStyle name="Nota 2 4 2 3 5" xfId="1737" xr:uid="{841F7804-C3D9-4319-A2AE-175562558F8F}"/>
    <cellStyle name="Nota 2 4 2 3 5 2" xfId="4051" xr:uid="{200ED25A-46B5-499D-9546-F057F1FD1166}"/>
    <cellStyle name="Nota 2 4 2 3 5 3" xfId="6103" xr:uid="{924BB9F6-91FA-42F4-86E2-40741A2B3686}"/>
    <cellStyle name="Nota 2 4 2 3 5 4" xfId="7795" xr:uid="{5367954A-1BF1-4722-9871-AECF93D07536}"/>
    <cellStyle name="Nota 2 4 2 3 6" xfId="1913" xr:uid="{704530C7-E542-4F89-9024-D8E6878830FA}"/>
    <cellStyle name="Nota 2 4 2 3 6 2" xfId="4227" xr:uid="{396DC9EB-5378-4E3A-A1B9-92753C18208A}"/>
    <cellStyle name="Nota 2 4 2 3 6 3" xfId="6272" xr:uid="{1EC884CB-FD0A-48DB-8F12-5C34C1E75756}"/>
    <cellStyle name="Nota 2 4 2 3 6 4" xfId="7898" xr:uid="{71AB7F68-4458-4C77-ACD6-66F94A43A937}"/>
    <cellStyle name="Nota 2 4 2 3 7" xfId="1768" xr:uid="{0154761F-D775-43D8-85FD-484F191864D3}"/>
    <cellStyle name="Nota 2 4 2 3 7 2" xfId="4082" xr:uid="{BF1A4396-D195-4A0A-B54A-9C0A184E007F}"/>
    <cellStyle name="Nota 2 4 2 3 7 3" xfId="6131" xr:uid="{18B8E582-B0FF-46EC-95B1-5D127317D1AC}"/>
    <cellStyle name="Nota 2 4 2 3 7 4" xfId="7815" xr:uid="{DCACACBF-8D6B-4656-B80B-981E5E3CAD97}"/>
    <cellStyle name="Nota 2 4 2 3 8" xfId="1097" xr:uid="{F2B92260-52E5-4AD9-B909-54BB4B26D978}"/>
    <cellStyle name="Nota 2 4 2 3 9" xfId="3452" xr:uid="{6BF83E8A-0BBF-4698-AF72-F554CD6C8D28}"/>
    <cellStyle name="Nota 2 4 2 4" xfId="421" xr:uid="{10D831CF-DA35-4511-8CF5-FAE403592D1A}"/>
    <cellStyle name="Nota 2 4 2 4 2" xfId="1897" xr:uid="{0EF8260A-9259-42AB-A5EF-0DD53D6382CC}"/>
    <cellStyle name="Nota 2 4 2 4 2 2" xfId="4211" xr:uid="{5333A8AB-B51D-405C-B891-413CFA48EC4C}"/>
    <cellStyle name="Nota 2 4 2 4 2 3" xfId="6257" xr:uid="{35303FBF-A60D-443E-9DF4-A091EB34AB2F}"/>
    <cellStyle name="Nota 2 4 2 4 2 4" xfId="7888" xr:uid="{23E6E3B6-F31B-4857-B3E4-A492458D848F}"/>
    <cellStyle name="Nota 2 4 2 4 3" xfId="2354" xr:uid="{9BCFA8E8-B751-4093-88C1-A47981FA9979}"/>
    <cellStyle name="Nota 2 4 2 4 3 2" xfId="4668" xr:uid="{31F7A7BE-9A5F-4B6D-B2BA-F41F2FE21758}"/>
    <cellStyle name="Nota 2 4 2 4 3 3" xfId="6682" xr:uid="{F1A279E7-3503-4380-A4B7-3D030BF9133F}"/>
    <cellStyle name="Nota 2 4 2 4 3 4" xfId="8170" xr:uid="{1FFDDC24-43CB-48AD-B6A2-56802C6E0D6C}"/>
    <cellStyle name="Nota 2 4 2 4 4" xfId="2768" xr:uid="{565C41D7-8AE8-4332-8B34-2E7F19C41D9C}"/>
    <cellStyle name="Nota 2 4 2 4 4 2" xfId="5082" xr:uid="{9AF9A10F-C28F-4AC2-95FC-0711ABA900CD}"/>
    <cellStyle name="Nota 2 4 2 4 4 3" xfId="7076" xr:uid="{F9984ABC-5936-4C93-A6F7-F20FA02BC30B}"/>
    <cellStyle name="Nota 2 4 2 4 4 4" xfId="8437" xr:uid="{1DD492B6-3496-4E20-B7BA-6CE72FD104ED}"/>
    <cellStyle name="Nota 2 4 2 4 5" xfId="3062" xr:uid="{EAAB1537-4FB6-401E-A539-662A78300A38}"/>
    <cellStyle name="Nota 2 4 2 4 5 2" xfId="5376" xr:uid="{10A66C41-4045-409C-A495-A4FF8419605A}"/>
    <cellStyle name="Nota 2 4 2 4 5 3" xfId="7370" xr:uid="{AC737FAF-BB80-421A-AD3F-4E95B8744609}"/>
    <cellStyle name="Nota 2 4 2 4 5 4" xfId="8614" xr:uid="{0785B6A7-362F-468F-923D-2D50C61F0EEE}"/>
    <cellStyle name="Nota 2 4 2 4 6" xfId="1269" xr:uid="{4AEC1235-7E21-48F2-A72D-386E3B2EDA71}"/>
    <cellStyle name="Nota 2 4 2 4 7" xfId="3597" xr:uid="{468D0BBE-EFE5-4622-A022-C37BE8A62874}"/>
    <cellStyle name="Nota 2 4 2 4 8" xfId="5703" xr:uid="{97B9C6E0-F645-419D-BDC8-0FECED052D31}"/>
    <cellStyle name="Nota 2 4 2 4 9" xfId="7530" xr:uid="{7BB0C894-D74D-4A91-B9EF-3B37CC2C9479}"/>
    <cellStyle name="Nota 2 4 2 5" xfId="565" xr:uid="{DF8D6153-A80C-415D-AD14-C678E0B8C963}"/>
    <cellStyle name="Nota 2 4 2 5 2" xfId="2023" xr:uid="{CB0C70D1-0EBF-456F-A5D2-75E5EF033798}"/>
    <cellStyle name="Nota 2 4 2 5 2 2" xfId="4337" xr:uid="{8E0C3410-DCEE-4524-9845-BB569AC881E6}"/>
    <cellStyle name="Nota 2 4 2 5 2 3" xfId="6378" xr:uid="{A9A2386E-279A-4579-8E52-E6585A8DF2B3}"/>
    <cellStyle name="Nota 2 4 2 5 2 4" xfId="7955" xr:uid="{A5CF840E-39DA-49FE-BFF1-C022352F941A}"/>
    <cellStyle name="Nota 2 4 2 5 3" xfId="2475" xr:uid="{370C130A-E67A-4EEF-928F-070043E7340A}"/>
    <cellStyle name="Nota 2 4 2 5 3 2" xfId="4789" xr:uid="{B57ABB7E-96DB-4938-B95B-70BD5ED516BB}"/>
    <cellStyle name="Nota 2 4 2 5 3 3" xfId="6799" xr:uid="{4BC2C17B-C7DD-4BD4-A6D2-1186CBF962B6}"/>
    <cellStyle name="Nota 2 4 2 5 3 4" xfId="8235" xr:uid="{23CC38A2-5583-4094-B203-AA77ABE2ED66}"/>
    <cellStyle name="Nota 2 4 2 5 4" xfId="2880" xr:uid="{CACD9C28-283F-4B5E-92EE-F0260FB8F661}"/>
    <cellStyle name="Nota 2 4 2 5 4 2" xfId="5194" xr:uid="{58895BB8-7B38-4895-94D2-C0CA34158F00}"/>
    <cellStyle name="Nota 2 4 2 5 4 3" xfId="7188" xr:uid="{DDD886A8-FBB7-4472-A562-67A41B11E25A}"/>
    <cellStyle name="Nota 2 4 2 5 4 4" xfId="8493" xr:uid="{ECAA08A1-1D78-4175-8B62-611D1FF54E20}"/>
    <cellStyle name="Nota 2 4 2 5 5" xfId="3107" xr:uid="{EA3A2219-B331-4CDF-A08C-5A7A80177BF1}"/>
    <cellStyle name="Nota 2 4 2 5 5 2" xfId="5421" xr:uid="{66451E5F-0ED5-492C-9E07-13D3C9D5876F}"/>
    <cellStyle name="Nota 2 4 2 5 5 3" xfId="7415" xr:uid="{EA89427E-BE32-4278-9B34-AD2BCF21F4F8}"/>
    <cellStyle name="Nota 2 4 2 5 5 4" xfId="8659" xr:uid="{2F9234B6-B148-45DE-8A8A-5A715552F313}"/>
    <cellStyle name="Nota 2 4 2 5 6" xfId="1413" xr:uid="{3CF3B5B7-0B65-4AA3-A56D-952D2FC34D3D}"/>
    <cellStyle name="Nota 2 4 2 5 7" xfId="3729" xr:uid="{F1C16113-EC20-4CC0-BFBF-6754977D2909}"/>
    <cellStyle name="Nota 2 4 2 5 8" xfId="5819" xr:uid="{6777D090-88A8-4687-A1E8-B9F3489E60CC}"/>
    <cellStyle name="Nota 2 4 2 5 9" xfId="7584" xr:uid="{692389FE-397C-4AE9-91B3-F30C90743EA5}"/>
    <cellStyle name="Nota 2 4 2 6" xfId="618" xr:uid="{054A0773-1B01-4574-A36C-95EF2DC75FC2}"/>
    <cellStyle name="Nota 2 4 2 6 2" xfId="2076" xr:uid="{E7262F60-7C89-4D86-B019-7875D158BA75}"/>
    <cellStyle name="Nota 2 4 2 6 2 2" xfId="4390" xr:uid="{4C8660CF-9180-465E-9F64-06846155EA79}"/>
    <cellStyle name="Nota 2 4 2 6 2 3" xfId="6430" xr:uid="{09B52180-AA6F-43CC-AB51-5ED0FAE12C8A}"/>
    <cellStyle name="Nota 2 4 2 6 2 4" xfId="7988" xr:uid="{9FBF6B3F-12B7-4092-A9EA-E2D0072DD852}"/>
    <cellStyle name="Nota 2 4 2 6 3" xfId="2528" xr:uid="{334ABB75-2CCA-4F9E-AE7C-079528D3DE0B}"/>
    <cellStyle name="Nota 2 4 2 6 3 2" xfId="4842" xr:uid="{7F180FF3-4451-4E78-A8EF-A0805C2EC840}"/>
    <cellStyle name="Nota 2 4 2 6 3 3" xfId="6851" xr:uid="{318C23C5-1960-4F0E-9AF9-B1CA1429C9D4}"/>
    <cellStyle name="Nota 2 4 2 6 3 4" xfId="8268" xr:uid="{C2FC39E5-9534-4A76-B507-3622B94072AD}"/>
    <cellStyle name="Nota 2 4 2 6 4" xfId="2930" xr:uid="{3234D597-F6BF-473F-B6E0-60DDFA573EF7}"/>
    <cellStyle name="Nota 2 4 2 6 4 2" xfId="5244" xr:uid="{5775D04D-9B8D-4018-AA04-1DF28578D22B}"/>
    <cellStyle name="Nota 2 4 2 6 4 3" xfId="7238" xr:uid="{F5AFA748-5746-4C00-A1BF-DEC8CE2ED8AC}"/>
    <cellStyle name="Nota 2 4 2 6 4 4" xfId="8523" xr:uid="{AB43F8C7-B947-404B-939A-1468002B3106}"/>
    <cellStyle name="Nota 2 4 2 6 5" xfId="3137" xr:uid="{0999C2B5-58E2-4082-9682-DD708CD6F190}"/>
    <cellStyle name="Nota 2 4 2 6 5 2" xfId="5451" xr:uid="{56E17C78-AC7A-43FB-A4D6-3292383B3950}"/>
    <cellStyle name="Nota 2 4 2 6 5 3" xfId="7445" xr:uid="{6C99DA75-78F3-43F6-8169-DB27F49F2D35}"/>
    <cellStyle name="Nota 2 4 2 6 5 4" xfId="8689" xr:uid="{EE101A6C-21B8-4243-A8C4-32C62BEFB256}"/>
    <cellStyle name="Nota 2 4 2 6 6" xfId="1466" xr:uid="{C11054EB-8610-4AE4-8F7C-BA4BCA44097D}"/>
    <cellStyle name="Nota 2 4 2 6 7" xfId="3782" xr:uid="{CE1F707D-A4BB-4F38-A40A-CE69E3F8967A}"/>
    <cellStyle name="Nota 2 4 2 6 8" xfId="5870" xr:uid="{FADBEB6A-9D09-40B9-A215-1F349B7729F6}"/>
    <cellStyle name="Nota 2 4 2 6 9" xfId="7617" xr:uid="{81E00AA6-7F3A-4408-A45B-23636B3F6464}"/>
    <cellStyle name="Nota 2 4 2 7" xfId="959" xr:uid="{E08BEFD4-FF2C-4264-8901-4C2A5CDE6C9D}"/>
    <cellStyle name="Nota 2 4 2 7 2" xfId="3337" xr:uid="{4629EF56-54DF-4DCA-9C62-B701AEB6C75F}"/>
    <cellStyle name="Nota 2 4 2 7 3" xfId="3323" xr:uid="{CC4747A1-1832-4EC2-9E17-73CB26EAE1A3}"/>
    <cellStyle name="Nota 2 4 2 7 4" xfId="5902" xr:uid="{8E5E59C8-3391-4061-B4EB-48DA78AC04A0}"/>
    <cellStyle name="Nota 2 4 2 8" xfId="1649" xr:uid="{0E990AC0-711C-4C67-90E7-1EA15A954D49}"/>
    <cellStyle name="Nota 2 4 2 8 2" xfId="3963" xr:uid="{58013550-1E6A-4AA4-8C16-8375138EDACB}"/>
    <cellStyle name="Nota 2 4 2 8 3" xfId="6021" xr:uid="{B6DC9CAE-330F-44C0-8140-9AE045BA2EE6}"/>
    <cellStyle name="Nota 2 4 2 8 4" xfId="7742" xr:uid="{890A2119-BF96-49A4-9025-92F243049451}"/>
    <cellStyle name="Nota 2 4 2 9" xfId="1695" xr:uid="{B8D42C2E-F18A-4328-B949-50983CB20958}"/>
    <cellStyle name="Nota 2 4 2 9 2" xfId="4009" xr:uid="{B5EA67A7-67A0-4729-AA08-B07F30F013A6}"/>
    <cellStyle name="Nota 2 4 2 9 3" xfId="6064" xr:uid="{0CE3D8F0-3D19-416E-B14E-81DACAB4A462}"/>
    <cellStyle name="Nota 2 4 2 9 4" xfId="7771" xr:uid="{4D575F75-DC97-4600-B9FD-B62B494A5342}"/>
    <cellStyle name="Nota 2 4 3" xfId="146" xr:uid="{2FADC179-9A20-4A29-8A9F-0EF7A31C96C6}"/>
    <cellStyle name="Nota 2 4 3 10" xfId="3368" xr:uid="{84F21FCB-44F6-4DD4-83A9-54E17F514803}"/>
    <cellStyle name="Nota 2 4 3 11" xfId="3440" xr:uid="{8CA049CC-5A3F-4807-B958-CEFD3B2A8D61}"/>
    <cellStyle name="Nota 2 4 3 12" xfId="4012" xr:uid="{B032E56A-2CC6-4E6B-BEEC-9051C4D3F5A1}"/>
    <cellStyle name="Nota 2 4 3 2" xfId="284" xr:uid="{B548E970-4518-454E-8DFD-93E665FFC0BC}"/>
    <cellStyle name="Nota 2 4 3 2 10" xfId="5603" xr:uid="{F2942D48-EB1F-406E-8E6B-5DE09F35B123}"/>
    <cellStyle name="Nota 2 4 3 2 11" xfId="3518" xr:uid="{65C0C8C2-E601-49F2-8B4F-D7ADAACDF653}"/>
    <cellStyle name="Nota 2 4 3 2 2" xfId="654" xr:uid="{04866029-C465-4B14-844B-0FC58AF993C4}"/>
    <cellStyle name="Nota 2 4 3 2 2 2" xfId="2112" xr:uid="{B8BE19E5-3634-487B-B8F8-6863239471AB}"/>
    <cellStyle name="Nota 2 4 3 2 2 2 2" xfId="4426" xr:uid="{5A4CC190-C253-4BB7-9170-562B9D9FAAA2}"/>
    <cellStyle name="Nota 2 4 3 2 2 2 3" xfId="6457" xr:uid="{0A3719FB-1238-4FE5-8CC8-7F2EBAD722AF}"/>
    <cellStyle name="Nota 2 4 3 2 2 2 4" xfId="8021" xr:uid="{709504D3-5253-4900-9827-9B244134E8EF}"/>
    <cellStyle name="Nota 2 4 3 2 2 3" xfId="2564" xr:uid="{2DE52767-06CD-40F7-B699-96A96EF8A884}"/>
    <cellStyle name="Nota 2 4 3 2 2 3 2" xfId="4878" xr:uid="{C85EAE8B-782A-4EC9-A0E0-0D821F494F21}"/>
    <cellStyle name="Nota 2 4 3 2 2 3 3" xfId="6878" xr:uid="{999E7641-C588-45B0-A918-A5FC55399D9C}"/>
    <cellStyle name="Nota 2 4 3 2 2 3 4" xfId="8301" xr:uid="{33DB1B89-1F7D-403D-BF8B-23AB140D5BAC}"/>
    <cellStyle name="Nota 2 4 3 2 2 4" xfId="2954" xr:uid="{D2778F26-B3DF-425A-810F-F16B202F4F2D}"/>
    <cellStyle name="Nota 2 4 3 2 2 4 2" xfId="5268" xr:uid="{2F66290F-3BAB-47C8-B347-DC4A9DBE5D88}"/>
    <cellStyle name="Nota 2 4 3 2 2 4 3" xfId="7262" xr:uid="{730C20AD-BC41-4673-8E7D-FF70DAB38A58}"/>
    <cellStyle name="Nota 2 4 3 2 2 4 4" xfId="8544" xr:uid="{CEF48AD7-333D-4587-B229-400EBE270327}"/>
    <cellStyle name="Nota 2 4 3 2 2 5" xfId="3157" xr:uid="{BFAE6BE6-1371-4BAC-B5D4-FFECB0749A93}"/>
    <cellStyle name="Nota 2 4 3 2 2 5 2" xfId="5471" xr:uid="{3F17CA49-EB5D-40DB-B1E8-223391440428}"/>
    <cellStyle name="Nota 2 4 3 2 2 5 3" xfId="7465" xr:uid="{1E3C3552-1009-4F5E-BFF6-2C2C6460DEC5}"/>
    <cellStyle name="Nota 2 4 3 2 2 5 4" xfId="8709" xr:uid="{EB74BC60-9F62-4799-BF9B-DEBEA73A3A64}"/>
    <cellStyle name="Nota 2 4 3 2 2 6" xfId="1502" xr:uid="{4F9A1926-A6F4-4FE7-9FC3-12A197014665}"/>
    <cellStyle name="Nota 2 4 3 2 2 7" xfId="3818" xr:uid="{D968B837-1F99-4946-BEF5-E7935BD33D90}"/>
    <cellStyle name="Nota 2 4 3 2 2 8" xfId="5896" xr:uid="{00FF6A56-8C33-4A2B-9242-6F24B2DB384C}"/>
    <cellStyle name="Nota 2 4 3 2 2 9" xfId="7650" xr:uid="{786E5FB8-5706-4885-8130-2C835218379E}"/>
    <cellStyle name="Nota 2 4 3 2 3" xfId="729" xr:uid="{31F2FBAA-44C2-4178-8CEA-882A0B2F079A}"/>
    <cellStyle name="Nota 2 4 3 2 3 2" xfId="2187" xr:uid="{B43AE224-47A3-4EA5-A177-3F29CD398F17}"/>
    <cellStyle name="Nota 2 4 3 2 3 2 2" xfId="4501" xr:uid="{42395727-2EC1-4019-A409-6DFC9D715B54}"/>
    <cellStyle name="Nota 2 4 3 2 3 2 3" xfId="6523" xr:uid="{A0F5720C-4270-4506-8B13-490CDB536935}"/>
    <cellStyle name="Nota 2 4 3 2 3 2 4" xfId="8074" xr:uid="{1048A916-EC42-4C56-8B86-C1B54B4FCDFB}"/>
    <cellStyle name="Nota 2 4 3 2 3 3" xfId="2639" xr:uid="{3C9B8421-4028-4B4E-90E0-2791722D304B}"/>
    <cellStyle name="Nota 2 4 3 2 3 3 2" xfId="4953" xr:uid="{D49B0C16-20F2-4E55-918E-83A430FCB3D1}"/>
    <cellStyle name="Nota 2 4 3 2 3 3 3" xfId="6947" xr:uid="{74837B10-E573-431C-A910-E304B2742619}"/>
    <cellStyle name="Nota 2 4 3 2 3 3 4" xfId="8354" xr:uid="{46681D19-1A01-4333-AC6B-9C4649A36386}"/>
    <cellStyle name="Nota 2 4 3 2 3 4" xfId="3014" xr:uid="{79DBC7C4-543A-48D9-81D2-A0458141983A}"/>
    <cellStyle name="Nota 2 4 3 2 3 4 2" xfId="5328" xr:uid="{69BAEAFA-C1CC-417A-BC2B-37F43FC7DFA4}"/>
    <cellStyle name="Nota 2 4 3 2 3 4 3" xfId="7322" xr:uid="{A6B4336E-3A15-4FCE-B365-7100CC0FD2B8}"/>
    <cellStyle name="Nota 2 4 3 2 3 4 4" xfId="8582" xr:uid="{B6544E6E-6DF4-4C53-80C6-DE8C7469B65A}"/>
    <cellStyle name="Nota 2 4 3 2 3 5" xfId="3194" xr:uid="{2658811F-1802-4C50-BF65-0251BD2796CA}"/>
    <cellStyle name="Nota 2 4 3 2 3 5 2" xfId="5508" xr:uid="{00522A7F-ECBE-4C34-AC2A-D840A7C18222}"/>
    <cellStyle name="Nota 2 4 3 2 3 5 3" xfId="7502" xr:uid="{5B799A66-1C35-4C3D-B5D3-2CAE45200C65}"/>
    <cellStyle name="Nota 2 4 3 2 3 5 4" xfId="8746" xr:uid="{92A32B48-90B3-412D-AD14-0A880CF882E0}"/>
    <cellStyle name="Nota 2 4 3 2 3 6" xfId="1577" xr:uid="{13AA5F6C-24DD-4405-89DB-9786F3D08356}"/>
    <cellStyle name="Nota 2 4 3 2 3 7" xfId="3893" xr:uid="{177D2668-8DDF-4EE5-B94E-FB56CDA8CBD5}"/>
    <cellStyle name="Nota 2 4 3 2 3 8" xfId="5960" xr:uid="{957B45AF-B0CF-4F5D-BAAE-804E43BD51B4}"/>
    <cellStyle name="Nota 2 4 3 2 3 9" xfId="7703" xr:uid="{71F52E61-D940-4D71-A985-4B7B5B2636F2}"/>
    <cellStyle name="Nota 2 4 3 2 4" xfId="1778" xr:uid="{2977053B-60D7-4DBE-ADA9-6C33DB124565}"/>
    <cellStyle name="Nota 2 4 3 2 4 2" xfId="4092" xr:uid="{FFEDB5D9-6DCC-4F53-995E-74B14CEE7EFD}"/>
    <cellStyle name="Nota 2 4 3 2 4 3" xfId="6141" xr:uid="{A2BC7D09-AB44-45A6-9685-F02B0690C540}"/>
    <cellStyle name="Nota 2 4 3 2 4 4" xfId="7820" xr:uid="{F2FFC93C-B16F-439C-8401-B19BF704A926}"/>
    <cellStyle name="Nota 2 4 3 2 5" xfId="2238" xr:uid="{F3C03DE1-76AF-402D-9A14-E391C1CB33FB}"/>
    <cellStyle name="Nota 2 4 3 2 5 2" xfId="4552" xr:uid="{5BB6E9A6-9732-4EF9-939B-D7FD4A33A89B}"/>
    <cellStyle name="Nota 2 4 3 2 5 3" xfId="6574" xr:uid="{E7A37666-A7B5-4BA7-B3F3-1F2AD1C09238}"/>
    <cellStyle name="Nota 2 4 3 2 5 4" xfId="8103" xr:uid="{44AD732D-F182-48DE-B608-A871E6CE1799}"/>
    <cellStyle name="Nota 2 4 3 2 6" xfId="2682" xr:uid="{FA6821AE-652E-4D92-A22F-29F8232382B2}"/>
    <cellStyle name="Nota 2 4 3 2 6 2" xfId="4996" xr:uid="{6ACB6C0D-CA9B-4968-A104-9C6CEE2B7BE6}"/>
    <cellStyle name="Nota 2 4 3 2 6 3" xfId="6990" xr:uid="{6131D0F6-6B5D-4B0F-9FEF-0083EF45E66E}"/>
    <cellStyle name="Nota 2 4 3 2 6 4" xfId="8381" xr:uid="{CD0AD4E8-5AA0-4D65-936C-3B02DA223864}"/>
    <cellStyle name="Nota 2 4 3 2 7" xfId="1920" xr:uid="{30B9D304-CB74-4268-96E3-F0F1E690D848}"/>
    <cellStyle name="Nota 2 4 3 2 7 2" xfId="4234" xr:uid="{703E457A-1E41-4FCE-A869-997EBCD6CBC2}"/>
    <cellStyle name="Nota 2 4 3 2 7 3" xfId="6279" xr:uid="{680BF4EA-C1C4-4089-AD29-5D38DA5EE20B}"/>
    <cellStyle name="Nota 2 4 3 2 7 4" xfId="7903" xr:uid="{77142018-B7E1-40EC-AAA6-9E14356DC0A5}"/>
    <cellStyle name="Nota 2 4 3 2 8" xfId="1132" xr:uid="{2F7529FF-8D78-495D-8875-68AAAD1BCC6E}"/>
    <cellStyle name="Nota 2 4 3 2 9" xfId="3483" xr:uid="{BE2C7117-E317-4DFE-9F88-3A5053F2E9DD}"/>
    <cellStyle name="Nota 2 4 3 3" xfId="457" xr:uid="{C3574BB1-9AE0-45CC-9926-A94A93AE5F6E}"/>
    <cellStyle name="Nota 2 4 3 3 2" xfId="1926" xr:uid="{5667720C-6E32-483F-9A01-382D774E79B1}"/>
    <cellStyle name="Nota 2 4 3 3 2 2" xfId="4240" xr:uid="{0EFEDF11-559B-4815-8E01-0C5992312EEA}"/>
    <cellStyle name="Nota 2 4 3 3 2 3" xfId="6285" xr:uid="{970A7187-EDAB-4C97-8D1C-61DAABB7E78D}"/>
    <cellStyle name="Nota 2 4 3 3 2 4" xfId="7907" xr:uid="{76152A54-0CED-4301-8518-D60F82E172A1}"/>
    <cellStyle name="Nota 2 4 3 3 3" xfId="2381" xr:uid="{60E25FFB-F57F-4570-B848-5D433B5C91BC}"/>
    <cellStyle name="Nota 2 4 3 3 3 2" xfId="4695" xr:uid="{2D3088DD-61CC-4921-B077-4F597B675A75}"/>
    <cellStyle name="Nota 2 4 3 3 3 3" xfId="6708" xr:uid="{4201BCB2-4AE3-4E36-BEAB-47741D5D49E0}"/>
    <cellStyle name="Nota 2 4 3 3 3 4" xfId="8188" xr:uid="{EA554583-AF9A-4440-AFAD-172E3D9BE7AE}"/>
    <cellStyle name="Nota 2 4 3 3 4" xfId="2792" xr:uid="{612FB5BF-8C10-482D-83C4-C2E25167E09E}"/>
    <cellStyle name="Nota 2 4 3 3 4 2" xfId="5106" xr:uid="{13EBBF15-C504-492B-8858-0E0F547227C5}"/>
    <cellStyle name="Nota 2 4 3 3 4 3" xfId="7100" xr:uid="{42D59E0C-FF4F-4B05-A7D0-2C57A9F0CD15}"/>
    <cellStyle name="Nota 2 4 3 3 4 4" xfId="8452" xr:uid="{3DCDDDD7-44FE-4A5F-9A85-68B63B900E35}"/>
    <cellStyle name="Nota 2 4 3 3 5" xfId="3074" xr:uid="{AFDE77D6-6D96-4B78-96CF-A933916B367A}"/>
    <cellStyle name="Nota 2 4 3 3 5 2" xfId="5388" xr:uid="{50582161-EAE5-4226-906B-035E5D7739ED}"/>
    <cellStyle name="Nota 2 4 3 3 5 3" xfId="7382" xr:uid="{2FFF3953-4930-428F-8815-511620B951C4}"/>
    <cellStyle name="Nota 2 4 3 3 5 4" xfId="8626" xr:uid="{CC1540E5-EF07-4799-AE32-E2E526F72597}"/>
    <cellStyle name="Nota 2 4 3 3 6" xfId="1305" xr:uid="{D3C39C98-AC7E-4024-92A4-290B4BFE7792}"/>
    <cellStyle name="Nota 2 4 3 3 7" xfId="3630" xr:uid="{DC8CB0B4-E074-42E3-9C24-8E88365F308B}"/>
    <cellStyle name="Nota 2 4 3 3 8" xfId="5729" xr:uid="{FFBA03D6-3EF2-42CD-9EAC-80FCD45FE982}"/>
    <cellStyle name="Nota 2 4 3 3 9" xfId="7544" xr:uid="{3C8E3B59-81A6-463A-9B5C-213242E46373}"/>
    <cellStyle name="Nota 2 4 3 4" xfId="589" xr:uid="{96E19BE0-F9AF-404C-869C-230A7D800F10}"/>
    <cellStyle name="Nota 2 4 3 4 2" xfId="2047" xr:uid="{A8AED47A-0DA0-4A2D-A382-43C2C02E2844}"/>
    <cellStyle name="Nota 2 4 3 4 2 2" xfId="4361" xr:uid="{3724D851-1AA6-483D-914A-DB801D38B752}"/>
    <cellStyle name="Nota 2 4 3 4 2 3" xfId="6402" xr:uid="{8B8EC3D7-6ACC-423D-A2D5-6F7BC5EE8A0A}"/>
    <cellStyle name="Nota 2 4 3 4 2 4" xfId="7969" xr:uid="{8559C9AF-342C-486A-BDEF-6EA71EBBB72F}"/>
    <cellStyle name="Nota 2 4 3 4 3" xfId="2499" xr:uid="{EDF6CE7A-10FB-450F-B6C8-E6033E33C17D}"/>
    <cellStyle name="Nota 2 4 3 4 3 2" xfId="4813" xr:uid="{D2DE53A9-5BCC-4F24-A076-221A02D66BB3}"/>
    <cellStyle name="Nota 2 4 3 4 3 3" xfId="6823" xr:uid="{87290EA2-26B4-43AF-83B1-C067CE45A505}"/>
    <cellStyle name="Nota 2 4 3 4 3 4" xfId="8249" xr:uid="{B93C6BCE-63FF-4A8D-9B57-1EE74D08798E}"/>
    <cellStyle name="Nota 2 4 3 4 4" xfId="2904" xr:uid="{9A458F24-AAEA-4B05-97D9-C88091F88C87}"/>
    <cellStyle name="Nota 2 4 3 4 4 2" xfId="5218" xr:uid="{C6C33852-3776-497B-A06C-92F41C18EE7A}"/>
    <cellStyle name="Nota 2 4 3 4 4 3" xfId="7212" xr:uid="{04A1EB97-E2FF-4425-9C0E-A79B72BCCACD}"/>
    <cellStyle name="Nota 2 4 3 4 4 4" xfId="8507" xr:uid="{B4EA6924-C52E-4393-8D41-C498B12F0927}"/>
    <cellStyle name="Nota 2 4 3 4 5" xfId="3121" xr:uid="{82EFD0F7-C5D8-4112-894D-2B1CEE1D3198}"/>
    <cellStyle name="Nota 2 4 3 4 5 2" xfId="5435" xr:uid="{8297A999-F7A2-499B-958B-5F08E3EA21D0}"/>
    <cellStyle name="Nota 2 4 3 4 5 3" xfId="7429" xr:uid="{880508EF-19F7-470C-AAC1-E514E09FFBB4}"/>
    <cellStyle name="Nota 2 4 3 4 5 4" xfId="8673" xr:uid="{A986250E-9524-4753-ABB8-DDF1B0F36D0E}"/>
    <cellStyle name="Nota 2 4 3 4 6" xfId="1437" xr:uid="{F081BC8E-4703-47EA-A1D5-A443F5D16A6F}"/>
    <cellStyle name="Nota 2 4 3 4 7" xfId="3753" xr:uid="{EE41CEC7-6C63-40B0-ACE0-4B028CA79B1B}"/>
    <cellStyle name="Nota 2 4 3 4 8" xfId="5843" xr:uid="{A51D64E5-AF23-4DAD-BA99-9C9B184EE0FC}"/>
    <cellStyle name="Nota 2 4 3 4 9" xfId="7598" xr:uid="{0118A547-670B-4DEA-A43A-440D27773370}"/>
    <cellStyle name="Nota 2 4 3 5" xfId="665" xr:uid="{F5753F17-58FD-4AD2-97FF-BD9AF1B45E0B}"/>
    <cellStyle name="Nota 2 4 3 5 2" xfId="2123" xr:uid="{61F6E52D-B0B6-4116-A81D-AD8EA9D470C4}"/>
    <cellStyle name="Nota 2 4 3 5 2 2" xfId="4437" xr:uid="{1FBC6065-8944-4124-A117-9DFBE4BAE3CB}"/>
    <cellStyle name="Nota 2 4 3 5 2 3" xfId="6465" xr:uid="{908373C4-43F6-4CD0-BC33-4824238CFFF2}"/>
    <cellStyle name="Nota 2 4 3 5 2 4" xfId="8032" xr:uid="{C6AD1CF1-3F4A-4EF3-ADF9-C4CD6735D88C}"/>
    <cellStyle name="Nota 2 4 3 5 3" xfId="2575" xr:uid="{2AC44156-6139-4572-94D6-B57532A21582}"/>
    <cellStyle name="Nota 2 4 3 5 3 2" xfId="4889" xr:uid="{F3846780-212E-46C2-B718-BA62A615FCD4}"/>
    <cellStyle name="Nota 2 4 3 5 3 3" xfId="6887" xr:uid="{AA4CCF70-3263-446F-9CB6-5EB1174C58CA}"/>
    <cellStyle name="Nota 2 4 3 5 3 4" xfId="8312" xr:uid="{59E55561-1157-4608-8F67-498C5BDC87DF}"/>
    <cellStyle name="Nota 2 4 3 5 4" xfId="2961" xr:uid="{9CCA4158-7804-4362-BB21-3C1B1C7D11F6}"/>
    <cellStyle name="Nota 2 4 3 5 4 2" xfId="5275" xr:uid="{B31E5D90-788B-46F9-AFBC-95A176425698}"/>
    <cellStyle name="Nota 2 4 3 5 4 3" xfId="7269" xr:uid="{5DE775D3-7BDE-4813-9679-E9C942E50DEB}"/>
    <cellStyle name="Nota 2 4 3 5 4 4" xfId="8551" xr:uid="{FBA2737D-64E8-4678-A64C-2B8AB5663858}"/>
    <cellStyle name="Nota 2 4 3 5 5" xfId="3163" xr:uid="{4FC2DB16-9776-4BF3-8AF3-04CC1198E978}"/>
    <cellStyle name="Nota 2 4 3 5 5 2" xfId="5477" xr:uid="{D351497D-EC4B-4F3C-9E02-30E37717AD2A}"/>
    <cellStyle name="Nota 2 4 3 5 5 3" xfId="7471" xr:uid="{78020DC7-B832-4E16-B021-E89C18B516DE}"/>
    <cellStyle name="Nota 2 4 3 5 5 4" xfId="8715" xr:uid="{31588973-38B2-40AF-89F0-A7CC0A232C39}"/>
    <cellStyle name="Nota 2 4 3 5 6" xfId="1513" xr:uid="{0A3518CD-25FF-4932-9A98-EA376973FD46}"/>
    <cellStyle name="Nota 2 4 3 5 7" xfId="3829" xr:uid="{ACC43253-6326-42DE-9BBF-FBEFF6CF14B8}"/>
    <cellStyle name="Nota 2 4 3 5 8" xfId="5904" xr:uid="{8E5BCF38-4882-49E8-BAE6-7FDAF7A3CC7E}"/>
    <cellStyle name="Nota 2 4 3 5 9" xfId="7661" xr:uid="{4F9D62D8-0311-49E2-A4B8-20699CD7F5D6}"/>
    <cellStyle name="Nota 2 4 3 6" xfId="1678" xr:uid="{C936A4DA-F2F5-4524-A03D-7E0BC34AAB2E}"/>
    <cellStyle name="Nota 2 4 3 6 2" xfId="3992" xr:uid="{9C27E2CC-A56A-4045-8A25-C08A46EB385D}"/>
    <cellStyle name="Nota 2 4 3 6 3" xfId="6048" xr:uid="{930FA0A8-3D89-4D88-B35E-3A5283849ADB}"/>
    <cellStyle name="Nota 2 4 3 6 4" xfId="7760" xr:uid="{78BDE5D4-1560-4117-8F76-382E4E076226}"/>
    <cellStyle name="Nota 2 4 3 7" xfId="1758" xr:uid="{CCD7D779-171E-4CE0-8197-BB817070C4CE}"/>
    <cellStyle name="Nota 2 4 3 7 2" xfId="4072" xr:uid="{71290281-0BE3-4182-A80D-DD579CD99EC3}"/>
    <cellStyle name="Nota 2 4 3 7 3" xfId="6122" xr:uid="{98FC7331-DCEC-4527-9913-96ECCEE76E2A}"/>
    <cellStyle name="Nota 2 4 3 7 4" xfId="7811" xr:uid="{4F16D3E4-3FC7-4152-96E2-AEDED2864CDA}"/>
    <cellStyle name="Nota 2 4 3 8" xfId="1792" xr:uid="{100BDFE2-E6C1-441E-8D80-E841446A3C90}"/>
    <cellStyle name="Nota 2 4 3 8 2" xfId="4106" xr:uid="{F5DD4C5D-76A0-412B-BBF6-B5698ECB519F}"/>
    <cellStyle name="Nota 2 4 3 8 3" xfId="6155" xr:uid="{4D613D26-49E4-41EE-B261-25DFB3C3E0EC}"/>
    <cellStyle name="Nota 2 4 3 8 4" xfId="7828" xr:uid="{AEDCCFDB-587F-4293-81EE-38B36B594CC2}"/>
    <cellStyle name="Nota 2 4 3 9" xfId="995" xr:uid="{8AE19FA9-1B81-4823-B8FC-F67023525121}"/>
    <cellStyle name="Nota 2 4 4" xfId="214" xr:uid="{5F88CBBA-CB6D-40B4-8EE1-7325465E3C2F}"/>
    <cellStyle name="Nota 2 4 4 10" xfId="5556" xr:uid="{E978742D-DF2B-41C4-825B-4330CEEA4827}"/>
    <cellStyle name="Nota 2 4 4 11" xfId="5691" xr:uid="{66318535-2BBB-4F67-8876-3D99EAEF240C}"/>
    <cellStyle name="Nota 2 4 4 2" xfId="612" xr:uid="{9B42FD4A-B8F6-46BA-ACBD-6FFB4C111348}"/>
    <cellStyle name="Nota 2 4 4 2 2" xfId="2070" xr:uid="{BEF942C3-916E-4574-B2F9-8C4841E5CF0E}"/>
    <cellStyle name="Nota 2 4 4 2 2 2" xfId="4384" xr:uid="{CE4DEB5B-B88B-42B3-BF9F-0B4A8761F759}"/>
    <cellStyle name="Nota 2 4 4 2 2 3" xfId="6424" xr:uid="{9A35245E-8422-4479-9A04-F66B3D2E1B38}"/>
    <cellStyle name="Nota 2 4 4 2 2 4" xfId="7982" xr:uid="{77662482-D01E-4F51-B1F5-3496073763E0}"/>
    <cellStyle name="Nota 2 4 4 2 3" xfId="2522" xr:uid="{4B7A2DAA-5465-462E-8AA7-5433B89DB7EE}"/>
    <cellStyle name="Nota 2 4 4 2 3 2" xfId="4836" xr:uid="{677FED8F-0132-4272-81A7-F4A578C77432}"/>
    <cellStyle name="Nota 2 4 4 2 3 3" xfId="6845" xr:uid="{0C4C83BC-C7B4-45CB-98E2-4BA74DFD9428}"/>
    <cellStyle name="Nota 2 4 4 2 3 4" xfId="8262" xr:uid="{A0D18040-F81A-43C9-9EC3-F92068FF9B26}"/>
    <cellStyle name="Nota 2 4 4 2 4" xfId="2925" xr:uid="{E5677143-A970-45AE-89C7-687BC1521440}"/>
    <cellStyle name="Nota 2 4 4 2 4 2" xfId="5239" xr:uid="{9F057701-BDF0-4D2E-8F92-7871ACC45AFD}"/>
    <cellStyle name="Nota 2 4 4 2 4 3" xfId="7233" xr:uid="{D8A256F1-FAC4-4036-AB19-9DB179627EDE}"/>
    <cellStyle name="Nota 2 4 4 2 4 4" xfId="8518" xr:uid="{891E48F7-E1AD-4FEF-AC8B-1A2BDF090F61}"/>
    <cellStyle name="Nota 2 4 4 2 5" xfId="3132" xr:uid="{D2296519-8C1E-4B3C-BDA2-8086B900DA28}"/>
    <cellStyle name="Nota 2 4 4 2 5 2" xfId="5446" xr:uid="{6F148732-3B0D-48F7-BE25-729DF41D1FA8}"/>
    <cellStyle name="Nota 2 4 4 2 5 3" xfId="7440" xr:uid="{B5A5486B-B74F-4F56-8583-BF272BB738A6}"/>
    <cellStyle name="Nota 2 4 4 2 5 4" xfId="8684" xr:uid="{7D3104F6-E42A-48BB-B214-DD5568CD97BA}"/>
    <cellStyle name="Nota 2 4 4 2 6" xfId="1460" xr:uid="{87EF853F-76B2-4C21-BEFA-3A8F5CC72416}"/>
    <cellStyle name="Nota 2 4 4 2 7" xfId="3776" xr:uid="{9F4E2EB7-7C42-430B-A6F1-2F4520AB6CE6}"/>
    <cellStyle name="Nota 2 4 4 2 8" xfId="5865" xr:uid="{3B46C6AF-4F57-407F-8585-8BD12401E288}"/>
    <cellStyle name="Nota 2 4 4 2 9" xfId="7611" xr:uid="{79C3F26A-5868-4570-98A6-D375C3C22FCC}"/>
    <cellStyle name="Nota 2 4 4 3" xfId="553" xr:uid="{5824D0BF-194C-46C5-AFAE-28DA7F334071}"/>
    <cellStyle name="Nota 2 4 4 3 2" xfId="2011" xr:uid="{1E57CF4D-03EA-4670-97CF-85263C2456F7}"/>
    <cellStyle name="Nota 2 4 4 3 2 2" xfId="4325" xr:uid="{6B3CC735-7CD4-4CEE-9253-D71701A2DE42}"/>
    <cellStyle name="Nota 2 4 4 3 2 3" xfId="6366" xr:uid="{BBB5076A-AE42-4D5B-8B2B-98AC78B40B52}"/>
    <cellStyle name="Nota 2 4 4 3 2 4" xfId="7949" xr:uid="{DF3C5DDB-8DD8-40E8-9E0F-067C26E84566}"/>
    <cellStyle name="Nota 2 4 4 3 3" xfId="2463" xr:uid="{D581E892-D135-4E10-AAC7-EB01B8AA1457}"/>
    <cellStyle name="Nota 2 4 4 3 3 2" xfId="4777" xr:uid="{05E5AFDB-A621-41BF-B281-70F7F3436E83}"/>
    <cellStyle name="Nota 2 4 4 3 3 3" xfId="6787" xr:uid="{7AD6AE55-ED51-45B5-ACAE-2AF27549F608}"/>
    <cellStyle name="Nota 2 4 4 3 3 4" xfId="8229" xr:uid="{C3A91993-9417-4A72-994E-0C3715780EF4}"/>
    <cellStyle name="Nota 2 4 4 3 4" xfId="2868" xr:uid="{CF5BED18-0A9F-4DBB-A2EE-B0DF944BEF0E}"/>
    <cellStyle name="Nota 2 4 4 3 4 2" xfId="5182" xr:uid="{7B470DFA-ED98-4265-8570-CBCEFCABE9B9}"/>
    <cellStyle name="Nota 2 4 4 3 4 3" xfId="7176" xr:uid="{7735F9A9-6D00-4C76-B380-5C8BD4638098}"/>
    <cellStyle name="Nota 2 4 4 3 4 4" xfId="8487" xr:uid="{AE71CDCD-C1F5-4DCE-A61E-9D03221C2F14}"/>
    <cellStyle name="Nota 2 4 4 3 5" xfId="3101" xr:uid="{543D81DE-7F65-49D6-9364-79B89D1809A4}"/>
    <cellStyle name="Nota 2 4 4 3 5 2" xfId="5415" xr:uid="{18B1F7C5-F276-4AF3-9952-9969164E8662}"/>
    <cellStyle name="Nota 2 4 4 3 5 3" xfId="7409" xr:uid="{D459AB30-88DF-4CD8-AC54-557F2E9E4C79}"/>
    <cellStyle name="Nota 2 4 4 3 5 4" xfId="8653" xr:uid="{BE5028D9-B9B6-4E20-8EA1-BC4278061829}"/>
    <cellStyle name="Nota 2 4 4 3 6" xfId="1401" xr:uid="{330ECCF8-FDC3-49A4-B1C7-9D5D5F6E8BF3}"/>
    <cellStyle name="Nota 2 4 4 3 7" xfId="3717" xr:uid="{D135CA2B-563D-4DF8-B4F0-44FC2AC72303}"/>
    <cellStyle name="Nota 2 4 4 3 8" xfId="5807" xr:uid="{A52B2317-2056-4446-9720-E7BDAB7FCF06}"/>
    <cellStyle name="Nota 2 4 4 3 9" xfId="7578" xr:uid="{93D00F03-A8DB-43B7-A6CF-F669F441E6F5}"/>
    <cellStyle name="Nota 2 4 4 4" xfId="1722" xr:uid="{52231E9E-BD6B-4B3E-AC93-FFED195A3C87}"/>
    <cellStyle name="Nota 2 4 4 4 2" xfId="4036" xr:uid="{D3F76FD4-6835-4134-A5AD-88DC64E396EA}"/>
    <cellStyle name="Nota 2 4 4 4 3" xfId="6090" xr:uid="{5F75E805-54AE-4FE1-9213-993D56C176A6}"/>
    <cellStyle name="Nota 2 4 4 4 4" xfId="7784" xr:uid="{5EC35F70-4788-4EC0-81E0-69BD0BC1BE8F}"/>
    <cellStyle name="Nota 2 4 4 5" xfId="1852" xr:uid="{5785A50B-0852-4D29-8614-2D4DF794A17D}"/>
    <cellStyle name="Nota 2 4 4 5 2" xfId="4166" xr:uid="{44189C9F-A38E-4FD9-B0CA-12774E97FBAC}"/>
    <cellStyle name="Nota 2 4 4 5 3" xfId="6215" xr:uid="{5EA5B05C-27AD-432F-84CA-AABB63FE2AAD}"/>
    <cellStyle name="Nota 2 4 4 5 4" xfId="7853" xr:uid="{DFADCD09-3B63-4EE5-993C-A893BAE2F437}"/>
    <cellStyle name="Nota 2 4 4 6" xfId="2250" xr:uid="{4ECBCA00-3B4A-4D14-A6AB-E4AB85A830B8}"/>
    <cellStyle name="Nota 2 4 4 6 2" xfId="4564" xr:uid="{95220D1E-AB3F-4D82-AC4D-7469A6354CCE}"/>
    <cellStyle name="Nota 2 4 4 6 3" xfId="6586" xr:uid="{B127CD89-A70D-4E5A-8F1F-7BC405CFDE5E}"/>
    <cellStyle name="Nota 2 4 4 6 4" xfId="8110" xr:uid="{5D55CF03-B7DE-4DB7-9338-7CBA41F066C9}"/>
    <cellStyle name="Nota 2 4 4 7" xfId="1943" xr:uid="{05E63D11-258E-4FE7-B4E7-CFB69FA4D2BD}"/>
    <cellStyle name="Nota 2 4 4 7 2" xfId="4257" xr:uid="{85D52D09-6572-4460-9142-1133E806CD87}"/>
    <cellStyle name="Nota 2 4 4 7 3" xfId="6301" xr:uid="{37313750-20C2-4CB1-B474-20568E5C1ED0}"/>
    <cellStyle name="Nota 2 4 4 7 4" xfId="7918" xr:uid="{9A524AA4-968D-4C07-BDF1-FA65DD504765}"/>
    <cellStyle name="Nota 2 4 4 8" xfId="1062" xr:uid="{9F052681-B953-4593-B45F-34CE981CA3F6}"/>
    <cellStyle name="Nota 2 4 4 9" xfId="3421" xr:uid="{DF575FBD-2582-4FB3-8ECA-4F57F182F07F}"/>
    <cellStyle name="Nota 2 4 5" xfId="385" xr:uid="{C8CC6A2A-E538-4950-85FA-FF1A9EB6DE1C}"/>
    <cellStyle name="Nota 2 4 5 2" xfId="1867" xr:uid="{065125F8-427C-45F6-ABE1-9EE10B3DDA29}"/>
    <cellStyle name="Nota 2 4 5 2 2" xfId="4181" xr:uid="{D86A5E01-F743-405C-BB91-2915CF45A864}"/>
    <cellStyle name="Nota 2 4 5 2 3" xfId="6229" xr:uid="{17F88B2E-612B-483B-B2FA-48C84101793F}"/>
    <cellStyle name="Nota 2 4 5 2 4" xfId="7866" xr:uid="{50A8EDDE-2EF6-400D-A901-5D02968517F2}"/>
    <cellStyle name="Nota 2 4 5 3" xfId="2324" xr:uid="{42C2B6B1-7613-4240-9377-353E22BEAABF}"/>
    <cellStyle name="Nota 2 4 5 3 2" xfId="4638" xr:uid="{CFA605BC-5D2E-4C99-8817-57039BCF4CB4}"/>
    <cellStyle name="Nota 2 4 5 3 3" xfId="6657" xr:uid="{F7856817-6B28-42FA-9FC4-7EDB6537A558}"/>
    <cellStyle name="Nota 2 4 5 3 4" xfId="8149" xr:uid="{DDD1AFE3-D92A-4363-AFC9-1DC2FEF3BD98}"/>
    <cellStyle name="Nota 2 4 5 4" xfId="2745" xr:uid="{F3D87161-B3F5-4AB4-BDB9-AEC08DA0F1B1}"/>
    <cellStyle name="Nota 2 4 5 4 2" xfId="5059" xr:uid="{8D183C96-3D43-40D6-A93F-D7D7FD8A852E}"/>
    <cellStyle name="Nota 2 4 5 4 3" xfId="7053" xr:uid="{7EC7203C-A21C-4545-93A9-0EB9FA4116C4}"/>
    <cellStyle name="Nota 2 4 5 4 4" xfId="8421" xr:uid="{00C0BCCD-AE57-4A32-9C1E-46857B1A0212}"/>
    <cellStyle name="Nota 2 4 5 5" xfId="3052" xr:uid="{CE2C7F0C-3CD7-4AE4-A318-12250D602972}"/>
    <cellStyle name="Nota 2 4 5 5 2" xfId="5366" xr:uid="{A9292074-6862-4A27-8A99-6CF885902A27}"/>
    <cellStyle name="Nota 2 4 5 5 3" xfId="7360" xr:uid="{23E8A5DB-375C-4323-9F80-3525F57C6D69}"/>
    <cellStyle name="Nota 2 4 5 5 4" xfId="8604" xr:uid="{F6C56EE0-DB99-4EDB-A880-C01254B776DF}"/>
    <cellStyle name="Nota 2 4 5 6" xfId="1233" xr:uid="{F6C2BAA7-283D-4C9D-9D3D-FB990B97453C}"/>
    <cellStyle name="Nota 2 4 5 7" xfId="3568" xr:uid="{E9E2D2D4-FEFD-4633-9DA2-24761AC1169C}"/>
    <cellStyle name="Nota 2 4 5 8" xfId="5683" xr:uid="{B807B49B-0F36-4405-A1C3-B26C72039B61}"/>
    <cellStyle name="Nota 2 4 5 9" xfId="3219" xr:uid="{1299EF03-84A9-4B22-8910-1B9B0778BBB5}"/>
    <cellStyle name="Nota 2 4 6" xfId="917" xr:uid="{4E1035A0-94DC-4DA6-9758-078CD43437AF}"/>
    <cellStyle name="Nota 2 4 6 2" xfId="3299" xr:uid="{5C28A133-EC45-4DDF-B604-1142A0C6DB55}"/>
    <cellStyle name="Nota 2 4 6 3" xfId="3551" xr:uid="{5667A020-3B7B-4A27-BF3C-297EAC4D2827}"/>
    <cellStyle name="Nota 2 4 6 4" xfId="813" xr:uid="{29F39463-C8B1-4888-AE61-3129F7AF292B}"/>
    <cellStyle name="Nota 2 4 7" xfId="820" xr:uid="{7147B6BD-5BB1-4169-9D02-CA6CEF825B53}"/>
    <cellStyle name="Nota 2 4 8" xfId="3216" xr:uid="{4EB090D5-AF1D-4805-9728-6CA4EEB0BC40}"/>
    <cellStyle name="Nota 2 4 9" xfId="3649" xr:uid="{827914E3-9F24-482F-B997-8200016ECA1D}"/>
    <cellStyle name="Nota 2 5" xfId="66" xr:uid="{00000000-0005-0000-0000-000031000000}"/>
    <cellStyle name="Nota 2 5 10" xfId="6900" xr:uid="{0C8696CD-1751-476B-92BA-52477D8D23A1}"/>
    <cellStyle name="Nota 2 5 2" xfId="115" xr:uid="{A2F8F839-28C4-460A-80BE-2FAB4DD60839}"/>
    <cellStyle name="Nota 2 5 2 10" xfId="1739" xr:uid="{4C61BCFE-F9B1-48FF-B22A-DABCDF082BBA}"/>
    <cellStyle name="Nota 2 5 2 10 2" xfId="4053" xr:uid="{38E06048-50F5-4E73-BC34-BA40C77C30C2}"/>
    <cellStyle name="Nota 2 5 2 10 3" xfId="6105" xr:uid="{9F8ADC1C-418F-4E0D-B1B5-A4FB86772E6B}"/>
    <cellStyle name="Nota 2 5 2 10 4" xfId="7796" xr:uid="{77CB6828-3F7E-457F-B4B8-7A0015EE56A2}"/>
    <cellStyle name="Nota 2 5 2 11" xfId="865" xr:uid="{2B8210B0-FC7B-4BB9-90D7-DC1832D0F3FF}"/>
    <cellStyle name="Nota 2 5 2 12" xfId="3252" xr:uid="{FD7FFB9A-673F-4D1A-ACAF-BA6D75092D87}"/>
    <cellStyle name="Nota 2 5 2 13" xfId="6434" xr:uid="{4FB1B1A9-E79E-4EEE-B301-9B1FC0FF2DA6}"/>
    <cellStyle name="Nota 2 5 2 2" xfId="187" xr:uid="{CE1A5A1A-F819-4FE0-9424-9CA5C0078D51}"/>
    <cellStyle name="Nota 2 5 2 2 2" xfId="324" xr:uid="{59502F35-4E81-4E43-8925-F29DF68A5AC8}"/>
    <cellStyle name="Nota 2 5 2 2 2 10" xfId="5633" xr:uid="{353DAC05-6BA6-4191-BEA9-834F34FD1A45}"/>
    <cellStyle name="Nota 2 5 2 2 2 11" xfId="3321" xr:uid="{E9ADA669-52A2-4E4F-BA83-DC2752E0190C}"/>
    <cellStyle name="Nota 2 5 2 2 2 2" xfId="681" xr:uid="{25EFF123-9F5D-4470-B849-D20285D57A83}"/>
    <cellStyle name="Nota 2 5 2 2 2 2 2" xfId="2139" xr:uid="{3DB9D985-B05F-41F1-A5B3-8CC5FE649927}"/>
    <cellStyle name="Nota 2 5 2 2 2 2 2 2" xfId="4453" xr:uid="{E72D3489-1E7E-41D5-88EB-DA7C2E43B773}"/>
    <cellStyle name="Nota 2 5 2 2 2 2 2 3" xfId="6477" xr:uid="{985E1EE5-AF76-4B7E-BED1-13C88CDA9B24}"/>
    <cellStyle name="Nota 2 5 2 2 2 2 2 4" xfId="8047" xr:uid="{FDA8657C-0AEF-4434-8D2A-B39BE2214BC4}"/>
    <cellStyle name="Nota 2 5 2 2 2 2 3" xfId="2591" xr:uid="{3A9F72F7-446D-4A72-8658-77A8D9E39444}"/>
    <cellStyle name="Nota 2 5 2 2 2 2 3 2" xfId="4905" xr:uid="{451EC019-CCCF-44AB-AE71-C6D945EDD9FC}"/>
    <cellStyle name="Nota 2 5 2 2 2 2 3 3" xfId="6901" xr:uid="{FCBB058C-55BB-419F-8DF4-49312C7D5694}"/>
    <cellStyle name="Nota 2 5 2 2 2 2 3 4" xfId="8327" xr:uid="{4E8CDA70-71D5-4C92-8528-46F606E23C0E}"/>
    <cellStyle name="Nota 2 5 2 2 2 2 4" xfId="2971" xr:uid="{9352D501-C903-43EE-9788-822AEB74EC63}"/>
    <cellStyle name="Nota 2 5 2 2 2 2 4 2" xfId="5285" xr:uid="{7F38FC7D-FBD6-47F6-82BC-5168E1B02B81}"/>
    <cellStyle name="Nota 2 5 2 2 2 2 4 3" xfId="7279" xr:uid="{D1ADD7C7-B8B2-47B5-99AE-17F8E78B81ED}"/>
    <cellStyle name="Nota 2 5 2 2 2 2 4 4" xfId="8560" xr:uid="{1BCE15C3-A267-4D9F-BA9A-AD22108CF038}"/>
    <cellStyle name="Nota 2 5 2 2 2 2 5" xfId="3172" xr:uid="{732C89FB-FCBC-472F-B612-6D9F205FA512}"/>
    <cellStyle name="Nota 2 5 2 2 2 2 5 2" xfId="5486" xr:uid="{E1455452-1256-4C09-B4D3-47E8A6CEC2E2}"/>
    <cellStyle name="Nota 2 5 2 2 2 2 5 3" xfId="7480" xr:uid="{BA0D1413-20A1-4FED-B2D9-628ED45021EF}"/>
    <cellStyle name="Nota 2 5 2 2 2 2 5 4" xfId="8724" xr:uid="{1EC81124-EC8E-48D8-93B0-6E5254D8E4F7}"/>
    <cellStyle name="Nota 2 5 2 2 2 2 6" xfId="1529" xr:uid="{D935A20E-DED5-487C-BF13-AFD09CAE1137}"/>
    <cellStyle name="Nota 2 5 2 2 2 2 7" xfId="3845" xr:uid="{F65AA3D2-D649-490C-9000-F613F7AB4DA1}"/>
    <cellStyle name="Nota 2 5 2 2 2 2 8" xfId="5916" xr:uid="{A3BB6EB9-91DD-4E0E-8010-A4A47017991F}"/>
    <cellStyle name="Nota 2 5 2 2 2 2 9" xfId="7676" xr:uid="{5C9BF602-D65F-47B1-9DAD-0600D5B696D5}"/>
    <cellStyle name="Nota 2 5 2 2 2 3" xfId="753" xr:uid="{BBC05F4B-1EE9-4A7F-A4F4-94ED03320B02}"/>
    <cellStyle name="Nota 2 5 2 2 2 3 2" xfId="2211" xr:uid="{E1819579-3227-4237-A997-41CDAC0B4B73}"/>
    <cellStyle name="Nota 2 5 2 2 2 3 2 2" xfId="4525" xr:uid="{F8554DF5-275B-4AB1-9189-92BD42604F59}"/>
    <cellStyle name="Nota 2 5 2 2 2 3 2 3" xfId="6547" xr:uid="{E1168F7E-7DBB-47B0-AB1B-14115900E429}"/>
    <cellStyle name="Nota 2 5 2 2 2 3 2 4" xfId="8087" xr:uid="{040E4275-4DD6-468D-8FBC-4AC29518E4EA}"/>
    <cellStyle name="Nota 2 5 2 2 2 3 3" xfId="2663" xr:uid="{B217719D-9D7A-45D7-9AC5-1AEB9B86AEDA}"/>
    <cellStyle name="Nota 2 5 2 2 2 3 3 2" xfId="4977" xr:uid="{256BDAAC-C57A-4874-9ECB-54B5344C5FEC}"/>
    <cellStyle name="Nota 2 5 2 2 2 3 3 3" xfId="6971" xr:uid="{8CB41064-6AFA-4FB4-9019-BE3FFE9BC366}"/>
    <cellStyle name="Nota 2 5 2 2 2 3 3 4" xfId="8367" xr:uid="{F05A8A71-950B-4984-97D8-54B1D1E22ABE}"/>
    <cellStyle name="Nota 2 5 2 2 2 3 4" xfId="3038" xr:uid="{BD55193F-E6AC-45D8-BCBC-37B29124F5BC}"/>
    <cellStyle name="Nota 2 5 2 2 2 3 4 2" xfId="5352" xr:uid="{CB9281AF-727B-48C9-BDE0-CA43ED75F88E}"/>
    <cellStyle name="Nota 2 5 2 2 2 3 4 3" xfId="7346" xr:uid="{BA2D6604-96F9-44E0-A330-D042CD4F1054}"/>
    <cellStyle name="Nota 2 5 2 2 2 3 4 4" xfId="8595" xr:uid="{4E4055B3-C14B-4BD4-A2B4-C49A62B8BC7A}"/>
    <cellStyle name="Nota 2 5 2 2 2 3 5" xfId="3207" xr:uid="{0C362FD8-9A5F-403E-A765-FD1370B434D7}"/>
    <cellStyle name="Nota 2 5 2 2 2 3 5 2" xfId="5521" xr:uid="{FCA7CFAB-6909-411C-9D70-B499A5AD2046}"/>
    <cellStyle name="Nota 2 5 2 2 2 3 5 3" xfId="7515" xr:uid="{96608D6E-16FF-4DD7-B756-6F9B8AF68CC2}"/>
    <cellStyle name="Nota 2 5 2 2 2 3 5 4" xfId="8759" xr:uid="{3A46613A-D81A-4BC4-8FC5-8129ABFC0EE0}"/>
    <cellStyle name="Nota 2 5 2 2 2 3 6" xfId="1601" xr:uid="{2A2D67BD-72A8-4788-9EF2-DFA432132869}"/>
    <cellStyle name="Nota 2 5 2 2 2 3 7" xfId="3917" xr:uid="{5355E9DA-F7EC-4BC8-A9EA-B60641E5178F}"/>
    <cellStyle name="Nota 2 5 2 2 2 3 8" xfId="5984" xr:uid="{0AFB9653-7534-4FF0-86A8-3845A9EDBA07}"/>
    <cellStyle name="Nota 2 5 2 2 2 3 9" xfId="7716" xr:uid="{FA8E8C08-BE86-4DAB-B228-2198EF3DC412}"/>
    <cellStyle name="Nota 2 5 2 2 2 4" xfId="1812" xr:uid="{521C0073-AC0E-474D-B62C-F4B045F061E5}"/>
    <cellStyle name="Nota 2 5 2 2 2 4 2" xfId="4126" xr:uid="{D6A49C20-ED24-49D3-8A0E-25673B20E0C7}"/>
    <cellStyle name="Nota 2 5 2 2 2 4 3" xfId="6175" xr:uid="{E60F1C33-D986-47F7-85F7-BBE052A208EB}"/>
    <cellStyle name="Nota 2 5 2 2 2 4 4" xfId="7840" xr:uid="{1ED0213B-25EF-4C49-BECF-CBE0250B2DDE}"/>
    <cellStyle name="Nota 2 5 2 2 2 5" xfId="2269" xr:uid="{E701A189-860B-4379-9005-E303B4D066C3}"/>
    <cellStyle name="Nota 2 5 2 2 2 5 2" xfId="4583" xr:uid="{8CBCA5D6-B482-40CB-BE1D-D3601DED15CF}"/>
    <cellStyle name="Nota 2 5 2 2 2 5 3" xfId="6605" xr:uid="{BD483B9C-F074-49D7-8901-2D1C05BA6B34}"/>
    <cellStyle name="Nota 2 5 2 2 2 5 4" xfId="8123" xr:uid="{3BDBEE0A-2319-4574-8A28-B2C394CD1AB2}"/>
    <cellStyle name="Nota 2 5 2 2 2 6" xfId="2703" xr:uid="{FBEAD1BF-683F-4F5A-AA46-20986CA57C0D}"/>
    <cellStyle name="Nota 2 5 2 2 2 6 2" xfId="5017" xr:uid="{0ACF8E72-9D04-4F5B-B997-115625961941}"/>
    <cellStyle name="Nota 2 5 2 2 2 6 3" xfId="7011" xr:uid="{287A37B6-45B3-41FC-9283-CF5928A18DB3}"/>
    <cellStyle name="Nota 2 5 2 2 2 6 4" xfId="8402" xr:uid="{EE3B07E4-62FC-4F8A-BCE4-B9C63AE6287D}"/>
    <cellStyle name="Nota 2 5 2 2 2 7" xfId="2782" xr:uid="{7AFC6C47-F694-4AFB-885C-AEDE56259D05}"/>
    <cellStyle name="Nota 2 5 2 2 2 7 2" xfId="5096" xr:uid="{D7BD575A-7C9A-4AC5-B8CA-70CAC5637116}"/>
    <cellStyle name="Nota 2 5 2 2 2 7 3" xfId="7090" xr:uid="{4BA25DB4-7D88-47E3-9EBB-FA177EDDE270}"/>
    <cellStyle name="Nota 2 5 2 2 2 7 4" xfId="8446" xr:uid="{4FD494ED-1433-413B-80D8-B7D2CB328DE3}"/>
    <cellStyle name="Nota 2 5 2 2 2 8" xfId="1172" xr:uid="{AE405543-0A37-48A7-820C-60469EC7F8FD}"/>
    <cellStyle name="Nota 2 5 2 2 2 9" xfId="3512" xr:uid="{D5D95CB9-2DD5-4B15-B058-567EE03D9B2B}"/>
    <cellStyle name="Nota 2 5 2 2 3" xfId="498" xr:uid="{09FF03AF-AA07-49BF-970C-4BE9FB07D691}"/>
    <cellStyle name="Nota 2 5 2 2 3 2" xfId="1959" xr:uid="{9C0B216C-3942-4BB6-AA59-FD02574C6619}"/>
    <cellStyle name="Nota 2 5 2 2 3 2 2" xfId="4273" xr:uid="{1EB49EF0-15DA-41ED-939C-9ACF81872E05}"/>
    <cellStyle name="Nota 2 5 2 2 3 2 3" xfId="6315" xr:uid="{14C57334-112E-4D06-AFE3-E9C0D08C2997}"/>
    <cellStyle name="Nota 2 5 2 2 3 2 4" xfId="7930" xr:uid="{2A0E1F4D-A7CE-4DD8-B684-5A21446AD01C}"/>
    <cellStyle name="Nota 2 5 2 2 3 3" xfId="2412" xr:uid="{87664093-93C0-49F9-BAC7-7942DAAA4566}"/>
    <cellStyle name="Nota 2 5 2 2 3 3 2" xfId="4726" xr:uid="{4E69D783-F06C-4EA9-9185-BF37B6853A89}"/>
    <cellStyle name="Nota 2 5 2 2 3 3 3" xfId="6738" xr:uid="{E3C0F1EF-AE9C-426A-8B90-5D9E742CD546}"/>
    <cellStyle name="Nota 2 5 2 2 3 3 4" xfId="8211" xr:uid="{5E5349FD-48C0-431A-9D62-66745384C090}"/>
    <cellStyle name="Nota 2 5 2 2 3 4" xfId="2819" xr:uid="{550B20AC-C15A-4706-A50B-866C7863D1D3}"/>
    <cellStyle name="Nota 2 5 2 2 3 4 2" xfId="5133" xr:uid="{7C0A567D-0C4F-4DF3-9286-3FEDB66529F7}"/>
    <cellStyle name="Nota 2 5 2 2 3 4 3" xfId="7127" xr:uid="{4508F446-F8A5-4873-B4E2-C3CBA85690B5}"/>
    <cellStyle name="Nota 2 5 2 2 3 4 4" xfId="8471" xr:uid="{9F3FDB07-2962-4933-80A1-50BE4B2858A9}"/>
    <cellStyle name="Nota 2 5 2 2 3 5" xfId="3088" xr:uid="{758D6D52-9455-4A32-B290-2089218AEC2B}"/>
    <cellStyle name="Nota 2 5 2 2 3 5 2" xfId="5402" xr:uid="{A101B1A1-6BD5-4975-9E2F-82FA954641E7}"/>
    <cellStyle name="Nota 2 5 2 2 3 5 3" xfId="7396" xr:uid="{B6105BF5-54FA-459D-BC24-6DFFCA9A3EC7}"/>
    <cellStyle name="Nota 2 5 2 2 3 5 4" xfId="8640" xr:uid="{6FBA8F05-FBAE-4289-867B-26C46E6BDBDF}"/>
    <cellStyle name="Nota 2 5 2 2 3 6" xfId="1346" xr:uid="{12898252-7F1C-43AD-8B11-16086277B5EB}"/>
    <cellStyle name="Nota 2 5 2 2 3 7" xfId="3663" xr:uid="{F7165C4B-52D8-4828-8434-477A3BD6AC4B}"/>
    <cellStyle name="Nota 2 5 2 2 3 8" xfId="5756" xr:uid="{DAD77C18-11BA-4C9D-AF8C-D9C21388CB43}"/>
    <cellStyle name="Nota 2 5 2 2 3 9" xfId="7561" xr:uid="{1FC5C1A4-E56C-4C26-AF8B-5B0342B5E137}"/>
    <cellStyle name="Nota 2 5 2 2 4" xfId="2674" xr:uid="{5842DC6C-2ABC-45C9-80E9-A259552B774D}"/>
    <cellStyle name="Nota 2 5 2 2 4 2" xfId="4988" xr:uid="{CEB4C859-B5D8-4210-A706-81BB2EA51E8D}"/>
    <cellStyle name="Nota 2 5 2 2 4 3" xfId="6982" xr:uid="{1E889655-60CF-47CC-88E2-8E3B31035F36}"/>
    <cellStyle name="Nota 2 5 2 2 4 4" xfId="8373" xr:uid="{2F287274-9B80-41AD-95E6-319F6B0D7BBC}"/>
    <cellStyle name="Nota 2 5 2 2 5" xfId="1035" xr:uid="{903643C1-57C1-4BA3-A300-5394E76E0004}"/>
    <cellStyle name="Nota 2 5 2 2 6" xfId="3399" xr:uid="{82512801-55AC-48A2-B2C3-1FDFB04234AD}"/>
    <cellStyle name="Nota 2 5 2 2 7" xfId="5537" xr:uid="{E20E91DA-853B-4753-A7EC-D2F65089D342}"/>
    <cellStyle name="Nota 2 5 2 2 8" xfId="5568" xr:uid="{CD9EFFF2-8EFD-4CC7-9A40-4477A51D3D41}"/>
    <cellStyle name="Nota 2 5 2 3" xfId="255" xr:uid="{527EC373-776C-4BF4-9413-7014C1714627}"/>
    <cellStyle name="Nota 2 5 2 3 10" xfId="5580" xr:uid="{20529A7E-DBD5-4193-8065-6DD758A8EE5E}"/>
    <cellStyle name="Nota 2 5 2 3 11" xfId="5572" xr:uid="{765DCA22-2980-4624-9E3D-8D9E1CBE74BF}"/>
    <cellStyle name="Nota 2 5 2 3 2" xfId="634" xr:uid="{B4A88744-4FF0-4A2B-B405-EA684945331F}"/>
    <cellStyle name="Nota 2 5 2 3 2 2" xfId="2092" xr:uid="{BD6A9928-4B46-4076-AB2E-F41D2A64DEBD}"/>
    <cellStyle name="Nota 2 5 2 3 2 2 2" xfId="4406" xr:uid="{38FC9387-FB95-46AA-9084-B024CC78C8A3}"/>
    <cellStyle name="Nota 2 5 2 3 2 2 3" xfId="6444" xr:uid="{D227DD25-9DB7-49CF-A796-2DC331DA4553}"/>
    <cellStyle name="Nota 2 5 2 3 2 2 4" xfId="8003" xr:uid="{11EB9B51-5E41-46D2-B5A9-4058FF7132D9}"/>
    <cellStyle name="Nota 2 5 2 3 2 3" xfId="2544" xr:uid="{16502330-6D52-481E-9F8C-692339A58228}"/>
    <cellStyle name="Nota 2 5 2 3 2 3 2" xfId="4858" xr:uid="{E158F40D-0BDF-49AE-9961-742D6D258151}"/>
    <cellStyle name="Nota 2 5 2 3 2 3 3" xfId="6865" xr:uid="{43774708-90CF-44A9-8DCA-E0A79314374A}"/>
    <cellStyle name="Nota 2 5 2 3 2 3 4" xfId="8283" xr:uid="{24E359AA-4CD7-4146-8769-434E1BE97BB7}"/>
    <cellStyle name="Nota 2 5 2 3 2 4" xfId="2942" xr:uid="{57E3F93B-CF79-4BC9-982F-DDEF2E28DD86}"/>
    <cellStyle name="Nota 2 5 2 3 2 4 2" xfId="5256" xr:uid="{3906F006-D7DC-4198-8DBE-F50D1BB6FF18}"/>
    <cellStyle name="Nota 2 5 2 3 2 4 3" xfId="7250" xr:uid="{F4229D82-8F8B-4F6A-9A5F-27E83CC070EB}"/>
    <cellStyle name="Nota 2 5 2 3 2 4 4" xfId="8534" xr:uid="{91D315E2-541B-403D-98E2-3755EAA7765E}"/>
    <cellStyle name="Nota 2 5 2 3 2 5" xfId="3148" xr:uid="{A666D874-2E69-41C0-8976-3A917FF136B9}"/>
    <cellStyle name="Nota 2 5 2 3 2 5 2" xfId="5462" xr:uid="{4E3E0065-7D68-46EE-992D-9A4A8702E3E9}"/>
    <cellStyle name="Nota 2 5 2 3 2 5 3" xfId="7456" xr:uid="{35B5CE72-C1E3-4F90-B082-374CF25C3CD8}"/>
    <cellStyle name="Nota 2 5 2 3 2 5 4" xfId="8700" xr:uid="{D1D7DCFE-8771-41EB-8883-76FD8ABCFE1D}"/>
    <cellStyle name="Nota 2 5 2 3 2 6" xfId="1482" xr:uid="{70148897-3F43-44DD-A886-23852C37610E}"/>
    <cellStyle name="Nota 2 5 2 3 2 7" xfId="3798" xr:uid="{0C568046-4FEB-4281-81D1-8717C80B685E}"/>
    <cellStyle name="Nota 2 5 2 3 2 8" xfId="5883" xr:uid="{4E582EFC-24C5-4C46-9716-E0DF2592DDE6}"/>
    <cellStyle name="Nota 2 5 2 3 2 9" xfId="7632" xr:uid="{DDBFCC13-A753-4AD8-8A96-605C52BE0293}"/>
    <cellStyle name="Nota 2 5 2 3 3" xfId="711" xr:uid="{75766C23-742B-4FE5-AAF5-4DD7F4CAAF3D}"/>
    <cellStyle name="Nota 2 5 2 3 3 2" xfId="2169" xr:uid="{1CC4EE4B-86F5-47DD-A78F-9DB1CFEA01A9}"/>
    <cellStyle name="Nota 2 5 2 3 3 2 2" xfId="4483" xr:uid="{AE5AA7F6-FE35-4DA2-9A8A-B6273D1FEBB5}"/>
    <cellStyle name="Nota 2 5 2 3 3 2 3" xfId="6505" xr:uid="{8CF2309D-081C-4987-8F9A-214DE539A044}"/>
    <cellStyle name="Nota 2 5 2 3 3 2 4" xfId="8066" xr:uid="{9150405F-4934-477D-859C-FC48E0EAB16C}"/>
    <cellStyle name="Nota 2 5 2 3 3 3" xfId="2621" xr:uid="{91B9CF76-F536-4452-8FA7-0C0D0F1AF6B8}"/>
    <cellStyle name="Nota 2 5 2 3 3 3 2" xfId="4935" xr:uid="{C605913A-4AD0-4C7A-96EA-5EDE91F3E68D}"/>
    <cellStyle name="Nota 2 5 2 3 3 3 3" xfId="6929" xr:uid="{196A840C-7BB5-4119-8F3A-01A11B44AA70}"/>
    <cellStyle name="Nota 2 5 2 3 3 3 4" xfId="8346" xr:uid="{6F911390-0A96-4FB3-AF08-983DBFC5895B}"/>
    <cellStyle name="Nota 2 5 2 3 3 4" xfId="2996" xr:uid="{E11D3884-9C1D-40C6-A949-818C0E5D6BBD}"/>
    <cellStyle name="Nota 2 5 2 3 3 4 2" xfId="5310" xr:uid="{3856A4C4-90C9-462F-9ADE-8630B5BCB1D3}"/>
    <cellStyle name="Nota 2 5 2 3 3 4 3" xfId="7304" xr:uid="{99877FC6-47F8-439C-8362-42DBDEAB86AF}"/>
    <cellStyle name="Nota 2 5 2 3 3 4 4" xfId="8574" xr:uid="{625ACF03-B3F4-4575-8B54-1758350B4656}"/>
    <cellStyle name="Nota 2 5 2 3 3 5" xfId="3186" xr:uid="{05B49E44-AE9F-4F0B-93AC-75EF9B9ED289}"/>
    <cellStyle name="Nota 2 5 2 3 3 5 2" xfId="5500" xr:uid="{D724BB51-7F8C-40CC-87CD-5C5DABC58A34}"/>
    <cellStyle name="Nota 2 5 2 3 3 5 3" xfId="7494" xr:uid="{C2378FFE-1CDD-47E1-A44C-FB66F88EE5C8}"/>
    <cellStyle name="Nota 2 5 2 3 3 5 4" xfId="8738" xr:uid="{E8CE0196-0BE6-417B-B8D6-439A9E914B3B}"/>
    <cellStyle name="Nota 2 5 2 3 3 6" xfId="1559" xr:uid="{2762F586-F5F9-4640-B462-2D7BF9C9AED6}"/>
    <cellStyle name="Nota 2 5 2 3 3 7" xfId="3875" xr:uid="{42AD414B-FEE0-46C8-B9B5-A3FBE375AA6A}"/>
    <cellStyle name="Nota 2 5 2 3 3 8" xfId="5942" xr:uid="{B6BA98FC-FEC1-46E8-AE32-DD1E1171F667}"/>
    <cellStyle name="Nota 2 5 2 3 3 9" xfId="7695" xr:uid="{8DF4157A-2095-4B7B-BA01-760F714EE3C2}"/>
    <cellStyle name="Nota 2 5 2 3 4" xfId="1754" xr:uid="{9E2CF83E-1484-4158-A9FC-D9722545D9F7}"/>
    <cellStyle name="Nota 2 5 2 3 4 2" xfId="4068" xr:uid="{5FF91411-4022-4CCE-9E58-36F8135D6BB6}"/>
    <cellStyle name="Nota 2 5 2 3 4 3" xfId="6119" xr:uid="{0E27BE79-0127-4F5B-8561-A1A6E724B421}"/>
    <cellStyle name="Nota 2 5 2 3 4 4" xfId="7807" xr:uid="{6D0AAF3B-C05B-4F77-AB70-5FED88B9633F}"/>
    <cellStyle name="Nota 2 5 2 3 5" xfId="924" xr:uid="{EBD6625B-FE8D-4453-965D-D0906927C3F9}"/>
    <cellStyle name="Nota 2 5 2 3 5 2" xfId="3306" xr:uid="{525F435D-293D-408F-A3CC-A72807CF0001}"/>
    <cellStyle name="Nota 2 5 2 3 5 3" xfId="3471" xr:uid="{41536792-D21F-4DE8-9F45-FA179CF1AC44}"/>
    <cellStyle name="Nota 2 5 2 3 5 4" xfId="5581" xr:uid="{7042465C-BF4F-4A08-BFDD-E64131CB1FFE}"/>
    <cellStyle name="Nota 2 5 2 3 6" xfId="2397" xr:uid="{67F9DC9E-07DF-4FF7-9ECE-298631563EB8}"/>
    <cellStyle name="Nota 2 5 2 3 6 2" xfId="4711" xr:uid="{CF3F12D4-1C1F-4EFC-B273-5C95918C0E6C}"/>
    <cellStyle name="Nota 2 5 2 3 6 3" xfId="6724" xr:uid="{3AA26C4E-69C9-44CC-88E8-A5CC12B1D820}"/>
    <cellStyle name="Nota 2 5 2 3 6 4" xfId="8199" xr:uid="{68A181CF-4E12-4838-B349-0EC38948B0CF}"/>
    <cellStyle name="Nota 2 5 2 3 7" xfId="2823" xr:uid="{CBD82975-42E7-4D2C-A794-FBFAA8A4B1CB}"/>
    <cellStyle name="Nota 2 5 2 3 7 2" xfId="5137" xr:uid="{03CA1DBC-6B8C-445E-9238-2EF8E82B5D5B}"/>
    <cellStyle name="Nota 2 5 2 3 7 3" xfId="7131" xr:uid="{DAC15437-6E72-4CAF-B57E-4A6C65C0D5B0}"/>
    <cellStyle name="Nota 2 5 2 3 7 4" xfId="8474" xr:uid="{F43AE8B7-64DD-4A1C-A327-CA93697E0468}"/>
    <cellStyle name="Nota 2 5 2 3 8" xfId="1103" xr:uid="{37E25719-3C72-4CF7-A04D-DD0A0555FDD0}"/>
    <cellStyle name="Nota 2 5 2 3 9" xfId="3457" xr:uid="{4C5B6770-B322-449C-9F39-62AC86BB12C7}"/>
    <cellStyle name="Nota 2 5 2 4" xfId="427" xr:uid="{D5FE6639-0B71-4DDC-8E5F-C48B1F676EF6}"/>
    <cellStyle name="Nota 2 5 2 4 2" xfId="1901" xr:uid="{1F5F948D-3D27-42E2-A8B3-3270757F160F}"/>
    <cellStyle name="Nota 2 5 2 4 2 2" xfId="4215" xr:uid="{81993685-321F-472D-8FEF-069C6DD013FB}"/>
    <cellStyle name="Nota 2 5 2 4 2 3" xfId="6261" xr:uid="{49B3ACCB-551D-45D2-8CC4-A35066E464CB}"/>
    <cellStyle name="Nota 2 5 2 4 2 4" xfId="7892" xr:uid="{E8C5AAC1-80A4-46E5-9906-F3E78456640F}"/>
    <cellStyle name="Nota 2 5 2 4 3" xfId="2358" xr:uid="{5E10B255-BE7F-4E60-8985-E5DBAC5ADA72}"/>
    <cellStyle name="Nota 2 5 2 4 3 2" xfId="4672" xr:uid="{018455B6-03F0-43C3-A91E-6E8D3BC7DCFB}"/>
    <cellStyle name="Nota 2 5 2 4 3 3" xfId="6686" xr:uid="{22F52861-602F-4AA9-9205-5E175C93185D}"/>
    <cellStyle name="Nota 2 5 2 4 3 4" xfId="8174" xr:uid="{23825C93-E697-4D22-85AE-EFD47122A578}"/>
    <cellStyle name="Nota 2 5 2 4 4" xfId="2771" xr:uid="{44528ECA-2998-4285-8F08-50853C05FEAF}"/>
    <cellStyle name="Nota 2 5 2 4 4 2" xfId="5085" xr:uid="{AB050E70-DAE2-418A-9098-AB825C06A90E}"/>
    <cellStyle name="Nota 2 5 2 4 4 3" xfId="7079" xr:uid="{76F2094B-CB74-4451-B91D-99F23E2464AC}"/>
    <cellStyle name="Nota 2 5 2 4 4 4" xfId="8440" xr:uid="{F27085B0-531E-436D-9E3D-A8031AA703BA}"/>
    <cellStyle name="Nota 2 5 2 4 5" xfId="3065" xr:uid="{0CEF4C71-CD3C-4AE5-9686-164013725BDB}"/>
    <cellStyle name="Nota 2 5 2 4 5 2" xfId="5379" xr:uid="{9532BAAF-7013-4F5F-A428-5C71F1F8CE6C}"/>
    <cellStyle name="Nota 2 5 2 4 5 3" xfId="7373" xr:uid="{8FF1ACB6-89B5-4159-B225-6C2A86E65017}"/>
    <cellStyle name="Nota 2 5 2 4 5 4" xfId="8617" xr:uid="{8D2510C3-1E79-4FBF-AFA7-4AC6D5EEE7D4}"/>
    <cellStyle name="Nota 2 5 2 4 6" xfId="1275" xr:uid="{02A977C2-3A1F-43E3-92C0-FB0967226209}"/>
    <cellStyle name="Nota 2 5 2 4 7" xfId="3603" xr:uid="{A81E03A2-55C1-4840-9F96-0956905D3260}"/>
    <cellStyle name="Nota 2 5 2 4 8" xfId="5706" xr:uid="{1866EC68-FD18-414A-9A6E-3C4566425536}"/>
    <cellStyle name="Nota 2 5 2 4 9" xfId="7534" xr:uid="{AB68B4BE-BABF-4582-B64A-0E0B5123C1AD}"/>
    <cellStyle name="Nota 2 5 2 5" xfId="568" xr:uid="{B0B3B5E1-AF69-4308-A9F4-82B9B5FD06D2}"/>
    <cellStyle name="Nota 2 5 2 5 2" xfId="2026" xr:uid="{6AE93141-F26E-45D5-B0D1-7EFA989FCBC9}"/>
    <cellStyle name="Nota 2 5 2 5 2 2" xfId="4340" xr:uid="{5C0AD6A3-8A1E-4FF9-9B49-6BA04A77B24A}"/>
    <cellStyle name="Nota 2 5 2 5 2 3" xfId="6381" xr:uid="{D5EC93FD-C482-486E-9B8A-DF9DF3456C8E}"/>
    <cellStyle name="Nota 2 5 2 5 2 4" xfId="7958" xr:uid="{C8C77C8E-61BA-4C51-AC7F-9D685197020C}"/>
    <cellStyle name="Nota 2 5 2 5 3" xfId="2478" xr:uid="{F48FA776-5722-4391-872A-6FB44196D6B3}"/>
    <cellStyle name="Nota 2 5 2 5 3 2" xfId="4792" xr:uid="{A0D9C1F6-8BF2-44DF-BB70-C4FEC7DD4A6E}"/>
    <cellStyle name="Nota 2 5 2 5 3 3" xfId="6802" xr:uid="{CA465442-C2E2-4C8E-A42D-5E5D694CAB31}"/>
    <cellStyle name="Nota 2 5 2 5 3 4" xfId="8238" xr:uid="{29440F99-D08F-43A5-85DD-0F93D43447CF}"/>
    <cellStyle name="Nota 2 5 2 5 4" xfId="2883" xr:uid="{3E1E444E-AF92-4BA4-8C92-C75F5B8F0555}"/>
    <cellStyle name="Nota 2 5 2 5 4 2" xfId="5197" xr:uid="{3813D3E4-AC59-4295-87E6-0EE58BA43F83}"/>
    <cellStyle name="Nota 2 5 2 5 4 3" xfId="7191" xr:uid="{0CC4E971-35FE-4786-A4B2-904715C3ABF6}"/>
    <cellStyle name="Nota 2 5 2 5 4 4" xfId="8496" xr:uid="{014C1D60-DB9C-4C0F-B8A6-91C20757A08D}"/>
    <cellStyle name="Nota 2 5 2 5 5" xfId="3110" xr:uid="{2251889A-DA6B-4EAC-82AC-C5A467A82649}"/>
    <cellStyle name="Nota 2 5 2 5 5 2" xfId="5424" xr:uid="{CFC65852-45BD-422E-AD2F-D9FF09482286}"/>
    <cellStyle name="Nota 2 5 2 5 5 3" xfId="7418" xr:uid="{7F116B37-8400-4CFE-B297-3A9C279B55D1}"/>
    <cellStyle name="Nota 2 5 2 5 5 4" xfId="8662" xr:uid="{77E74698-F367-4626-ABAA-54918E49C5E7}"/>
    <cellStyle name="Nota 2 5 2 5 6" xfId="1416" xr:uid="{EBE3B251-B210-41F9-BE09-A33BE8ACE3AA}"/>
    <cellStyle name="Nota 2 5 2 5 7" xfId="3732" xr:uid="{697A2E60-9B81-45D0-9B1F-D1E35FF495DD}"/>
    <cellStyle name="Nota 2 5 2 5 8" xfId="5822" xr:uid="{109EC690-7BAA-41E7-A30E-47F11DE9476E}"/>
    <cellStyle name="Nota 2 5 2 5 9" xfId="7587" xr:uid="{DAF28639-937E-46B5-BC61-41FA57CF17B3}"/>
    <cellStyle name="Nota 2 5 2 6" xfId="573" xr:uid="{100BA2BC-BFF6-4C59-A353-B4D3543D7FE9}"/>
    <cellStyle name="Nota 2 5 2 6 2" xfId="2031" xr:uid="{55616A95-2491-4ACD-9BAA-55E8D078F310}"/>
    <cellStyle name="Nota 2 5 2 6 2 2" xfId="4345" xr:uid="{DD0F050B-8BB3-43A0-9764-EB3A0CD15682}"/>
    <cellStyle name="Nota 2 5 2 6 2 3" xfId="6386" xr:uid="{802AFB20-339D-4B19-BB7B-BC7B072FF56B}"/>
    <cellStyle name="Nota 2 5 2 6 2 4" xfId="7962" xr:uid="{9C49B627-4945-452D-969C-C3E91C4D3A92}"/>
    <cellStyle name="Nota 2 5 2 6 3" xfId="2483" xr:uid="{0827DB25-619C-4F11-A8FD-1274354E4ECF}"/>
    <cellStyle name="Nota 2 5 2 6 3 2" xfId="4797" xr:uid="{E38D2615-4CAB-45D1-8D1A-ED1572F3E6A9}"/>
    <cellStyle name="Nota 2 5 2 6 3 3" xfId="6807" xr:uid="{47DF93BF-9FB6-4A87-B4E8-6E161BD7F990}"/>
    <cellStyle name="Nota 2 5 2 6 3 4" xfId="8242" xr:uid="{7A9BD99C-DEBD-48C0-84AC-FB09FD633C49}"/>
    <cellStyle name="Nota 2 5 2 6 4" xfId="2888" xr:uid="{23729939-D40D-4EE9-839A-A0CF290A87AA}"/>
    <cellStyle name="Nota 2 5 2 6 4 2" xfId="5202" xr:uid="{C3D13648-58A7-4084-960F-05EE21B7BD67}"/>
    <cellStyle name="Nota 2 5 2 6 4 3" xfId="7196" xr:uid="{E701EB46-B398-44E8-8832-0621B5BF5083}"/>
    <cellStyle name="Nota 2 5 2 6 4 4" xfId="8500" xr:uid="{D0FB2967-5F7F-4BCF-97D5-C3901A299DC5}"/>
    <cellStyle name="Nota 2 5 2 6 5" xfId="3114" xr:uid="{377AB623-A237-4986-99F7-A557269E9CB3}"/>
    <cellStyle name="Nota 2 5 2 6 5 2" xfId="5428" xr:uid="{C08CC91A-EBD7-4A10-91A1-58A06B18ED25}"/>
    <cellStyle name="Nota 2 5 2 6 5 3" xfId="7422" xr:uid="{A447E238-32C6-4704-990C-DBA98BD6865C}"/>
    <cellStyle name="Nota 2 5 2 6 5 4" xfId="8666" xr:uid="{34742FBF-8037-48B4-833A-7503534A7DC4}"/>
    <cellStyle name="Nota 2 5 2 6 6" xfId="1421" xr:uid="{B84E358A-A33D-41E4-B2C5-7228EFAB28C4}"/>
    <cellStyle name="Nota 2 5 2 6 7" xfId="3737" xr:uid="{CFFBB6E4-782A-4A7D-A25F-B950FEE16C4A}"/>
    <cellStyle name="Nota 2 5 2 6 8" xfId="5827" xr:uid="{A60537B4-3289-4508-94D7-EC3ABE5C1B13}"/>
    <cellStyle name="Nota 2 5 2 6 9" xfId="7591" xr:uid="{7D060687-8C1D-4C48-B277-E3EBDF18C88E}"/>
    <cellStyle name="Nota 2 5 2 7" xfId="965" xr:uid="{D26B74D8-5336-46FA-A8AC-24959D35B9B2}"/>
    <cellStyle name="Nota 2 5 2 7 2" xfId="3343" xr:uid="{71703773-55DB-4B0A-A286-1F02E3DAEC8D}"/>
    <cellStyle name="Nota 2 5 2 7 3" xfId="3234" xr:uid="{E44E5949-1186-4D4F-98C8-F97925867AE1}"/>
    <cellStyle name="Nota 2 5 2 7 4" xfId="6323" xr:uid="{B8D2D9B8-884C-44B3-9DD8-1CB06D353620}"/>
    <cellStyle name="Nota 2 5 2 8" xfId="1653" xr:uid="{DD5A8B52-85AA-4D95-94CE-9B4265651950}"/>
    <cellStyle name="Nota 2 5 2 8 2" xfId="3967" xr:uid="{ADF6540C-6031-4A12-AA52-02D0842C9614}"/>
    <cellStyle name="Nota 2 5 2 8 3" xfId="6024" xr:uid="{D51C61EA-6B0A-496B-96D9-CFD323B23032}"/>
    <cellStyle name="Nota 2 5 2 8 4" xfId="7746" xr:uid="{B315E360-7E9B-4696-B719-1D76473404A3}"/>
    <cellStyle name="Nota 2 5 2 9" xfId="1688" xr:uid="{CCADD30F-BD31-4959-95CB-08A0ECFB3E28}"/>
    <cellStyle name="Nota 2 5 2 9 2" xfId="4002" xr:uid="{74F5F031-5A10-4C7F-986F-343D33291F41}"/>
    <cellStyle name="Nota 2 5 2 9 3" xfId="6058" xr:uid="{84B064E9-3D99-4A3F-BBB3-8C4AC6FFE46F}"/>
    <cellStyle name="Nota 2 5 2 9 4" xfId="7764" xr:uid="{D00FA6B3-98B1-490D-B5C6-7E9FDE7BFFFF}"/>
    <cellStyle name="Nota 2 5 3" xfId="151" xr:uid="{C3944D04-89C6-476B-856D-C19E398F4E15}"/>
    <cellStyle name="Nota 2 5 3 10" xfId="3371" xr:uid="{EC2C6FBC-137F-4E21-A517-476F9BB82C7D}"/>
    <cellStyle name="Nota 2 5 3 11" xfId="3215" xr:uid="{B1D68464-5005-4A61-B82B-061FD99D15E9}"/>
    <cellStyle name="Nota 2 5 3 12" xfId="3377" xr:uid="{B16E26B2-BCD4-41C2-A269-F75D0AE29A6A}"/>
    <cellStyle name="Nota 2 5 3 2" xfId="289" xr:uid="{2808176F-7420-45ED-A3B8-0AF17FC7421C}"/>
    <cellStyle name="Nota 2 5 3 2 10" xfId="5606" xr:uid="{6A9E0F7E-D8A7-4383-81AC-B353E820CC57}"/>
    <cellStyle name="Nota 2 5 3 2 11" xfId="5803" xr:uid="{C0ADEDBB-DF70-4DFB-8F94-20126C2E2C43}"/>
    <cellStyle name="Nota 2 5 3 2 2" xfId="657" xr:uid="{75287368-5796-4ADB-97DF-6815C259CDCE}"/>
    <cellStyle name="Nota 2 5 3 2 2 2" xfId="2115" xr:uid="{158909E5-94C7-4A1B-A48E-CC95D458C509}"/>
    <cellStyle name="Nota 2 5 3 2 2 2 2" xfId="4429" xr:uid="{632FCDBE-7A4F-4404-9CA5-E81138AEFC5D}"/>
    <cellStyle name="Nota 2 5 3 2 2 2 3" xfId="6459" xr:uid="{08B8683F-CFD9-443D-9720-CA007C67D3BB}"/>
    <cellStyle name="Nota 2 5 3 2 2 2 4" xfId="8024" xr:uid="{5FA13B42-4AC7-483D-8D74-00E827A98906}"/>
    <cellStyle name="Nota 2 5 3 2 2 3" xfId="2567" xr:uid="{251ABD5E-B88D-470B-9DB9-9DD159D1C948}"/>
    <cellStyle name="Nota 2 5 3 2 2 3 2" xfId="4881" xr:uid="{CCB6031B-71ED-483A-92E6-91656E2FA0E3}"/>
    <cellStyle name="Nota 2 5 3 2 2 3 3" xfId="6880" xr:uid="{6B2D028E-44D0-4787-8328-23B1FA500AEA}"/>
    <cellStyle name="Nota 2 5 3 2 2 3 4" xfId="8304" xr:uid="{35E2F236-5F4A-4B4A-81AC-5A12112AF5A1}"/>
    <cellStyle name="Nota 2 5 3 2 2 4" xfId="2956" xr:uid="{CF8300A5-D0E4-4F8D-9356-3AD6AB1F1A7B}"/>
    <cellStyle name="Nota 2 5 3 2 2 4 2" xfId="5270" xr:uid="{9D33BED9-3283-4BCA-BF16-494B44473ABB}"/>
    <cellStyle name="Nota 2 5 3 2 2 4 3" xfId="7264" xr:uid="{C194C553-DB52-44B0-AD5F-DE1E7B10F9F9}"/>
    <cellStyle name="Nota 2 5 3 2 2 4 4" xfId="8546" xr:uid="{ED10C833-20B3-4ADF-A5C7-4540C4052C6E}"/>
    <cellStyle name="Nota 2 5 3 2 2 5" xfId="3159" xr:uid="{EB4463D5-CCE7-47D6-A577-F562710ACE8F}"/>
    <cellStyle name="Nota 2 5 3 2 2 5 2" xfId="5473" xr:uid="{DC6E527E-9F71-480E-B0BA-D8DB0E183FCF}"/>
    <cellStyle name="Nota 2 5 3 2 2 5 3" xfId="7467" xr:uid="{DCB66191-4CAD-4460-B0ED-D0BB7F98A499}"/>
    <cellStyle name="Nota 2 5 3 2 2 5 4" xfId="8711" xr:uid="{ED0876AC-6694-4CB8-9ED0-0F8BB3CA35DE}"/>
    <cellStyle name="Nota 2 5 3 2 2 6" xfId="1505" xr:uid="{7F54DD06-DF2F-412A-8908-863C1CF1AF27}"/>
    <cellStyle name="Nota 2 5 3 2 2 7" xfId="3821" xr:uid="{69F1738D-2701-47A5-A5A2-95FE04259285}"/>
    <cellStyle name="Nota 2 5 3 2 2 8" xfId="5898" xr:uid="{F95F7344-D0F2-41C7-8DD8-F66D16B81EE7}"/>
    <cellStyle name="Nota 2 5 3 2 2 9" xfId="7653" xr:uid="{9E73F35A-25DF-4DA3-9167-8F239380F1CF}"/>
    <cellStyle name="Nota 2 5 3 2 3" xfId="732" xr:uid="{BD16B04F-4007-4D92-813C-2E167068A632}"/>
    <cellStyle name="Nota 2 5 3 2 3 2" xfId="2190" xr:uid="{F9B71291-50A1-4FC0-8504-02783A879E7C}"/>
    <cellStyle name="Nota 2 5 3 2 3 2 2" xfId="4504" xr:uid="{B92309DF-30AA-4952-9D76-4BBEF15B5139}"/>
    <cellStyle name="Nota 2 5 3 2 3 2 3" xfId="6526" xr:uid="{FB67BEF0-B42A-4B70-B68B-B87A04C0D071}"/>
    <cellStyle name="Nota 2 5 3 2 3 2 4" xfId="8076" xr:uid="{FDABAA87-2FE6-4F0F-8852-1146E5B3DB1F}"/>
    <cellStyle name="Nota 2 5 3 2 3 3" xfId="2642" xr:uid="{0C072ED0-DA59-4B5E-A626-8A6C93569A8F}"/>
    <cellStyle name="Nota 2 5 3 2 3 3 2" xfId="4956" xr:uid="{803408C6-D237-4559-AD92-93E176AAEC83}"/>
    <cellStyle name="Nota 2 5 3 2 3 3 3" xfId="6950" xr:uid="{ED7FFE98-BB0B-479B-9BA8-4BF832641CEC}"/>
    <cellStyle name="Nota 2 5 3 2 3 3 4" xfId="8356" xr:uid="{F5A6BB83-76D2-43D5-A637-EB42A1BF5883}"/>
    <cellStyle name="Nota 2 5 3 2 3 4" xfId="3017" xr:uid="{C9E1D93A-77F2-453F-96EF-D7390D6E6A88}"/>
    <cellStyle name="Nota 2 5 3 2 3 4 2" xfId="5331" xr:uid="{318F80DD-4006-4B64-B80F-785A2A556C6D}"/>
    <cellStyle name="Nota 2 5 3 2 3 4 3" xfId="7325" xr:uid="{D6AFDA30-4F60-4479-AA8F-707E10397FF1}"/>
    <cellStyle name="Nota 2 5 3 2 3 4 4" xfId="8584" xr:uid="{B89DC4F9-0CD6-444F-9B7B-7CBCDD1EC137}"/>
    <cellStyle name="Nota 2 5 3 2 3 5" xfId="3196" xr:uid="{DAF108F0-18FA-4894-AACA-83E248F834A0}"/>
    <cellStyle name="Nota 2 5 3 2 3 5 2" xfId="5510" xr:uid="{7EA2C2F1-9F76-4E80-B62D-D3802CDFA0AA}"/>
    <cellStyle name="Nota 2 5 3 2 3 5 3" xfId="7504" xr:uid="{05CCC3EB-9294-4FE6-9A6A-A948B5480505}"/>
    <cellStyle name="Nota 2 5 3 2 3 5 4" xfId="8748" xr:uid="{3F7034E9-9982-49BA-94AB-DDC49C174937}"/>
    <cellStyle name="Nota 2 5 3 2 3 6" xfId="1580" xr:uid="{DCF705AD-56DA-4049-9FF9-69F0BB8E98A6}"/>
    <cellStyle name="Nota 2 5 3 2 3 7" xfId="3896" xr:uid="{6A7FC38A-7B77-4276-96D4-7774E6A5CE84}"/>
    <cellStyle name="Nota 2 5 3 2 3 8" xfId="5963" xr:uid="{5D92C10A-E6DE-4AF8-9255-7DC6FE9808A7}"/>
    <cellStyle name="Nota 2 5 3 2 3 9" xfId="7705" xr:uid="{4A41095D-D97F-4896-8E45-5F4EDE69F75F}"/>
    <cellStyle name="Nota 2 5 3 2 4" xfId="1782" xr:uid="{C81E66B3-CCCC-434F-AD2F-E02175329748}"/>
    <cellStyle name="Nota 2 5 3 2 4 2" xfId="4096" xr:uid="{D20C7D40-FBF8-4915-8E2D-089B0CD6D126}"/>
    <cellStyle name="Nota 2 5 3 2 4 3" xfId="6145" xr:uid="{1075C929-3803-443C-B5CC-1EA28E5F0902}"/>
    <cellStyle name="Nota 2 5 3 2 4 4" xfId="7823" xr:uid="{2ED30E4F-5441-4E5B-8157-02A01BDE16DC}"/>
    <cellStyle name="Nota 2 5 3 2 5" xfId="2242" xr:uid="{F741F49E-6FA8-42AB-9E60-CC8322F17DAF}"/>
    <cellStyle name="Nota 2 5 3 2 5 2" xfId="4556" xr:uid="{115613E7-2EC2-4D54-ADB4-E52A2924F709}"/>
    <cellStyle name="Nota 2 5 3 2 5 3" xfId="6578" xr:uid="{87388A4A-B6A3-4CD7-B465-519E505D3E1C}"/>
    <cellStyle name="Nota 2 5 3 2 5 4" xfId="8106" xr:uid="{CF5E58FC-AD78-486B-8C21-14EA8BAECF67}"/>
    <cellStyle name="Nota 2 5 3 2 6" xfId="2684" xr:uid="{C4C9842B-2913-4465-A617-B1C14292DCF4}"/>
    <cellStyle name="Nota 2 5 3 2 6 2" xfId="4998" xr:uid="{5BA2C41F-60DA-4578-92D3-BA8C70B1C0D0}"/>
    <cellStyle name="Nota 2 5 3 2 6 3" xfId="6992" xr:uid="{2CA0899A-A1A1-4FDC-9963-8CBED6862323}"/>
    <cellStyle name="Nota 2 5 3 2 6 4" xfId="8383" xr:uid="{3206A2B0-0205-4D06-8BF9-06633160AFB0}"/>
    <cellStyle name="Nota 2 5 3 2 7" xfId="1853" xr:uid="{2CFE9A64-C2E2-4B36-AB36-1D93D79BF7BF}"/>
    <cellStyle name="Nota 2 5 3 2 7 2" xfId="4167" xr:uid="{12F8FE86-15C0-4F3B-AA55-07A2B6B9DF19}"/>
    <cellStyle name="Nota 2 5 3 2 7 3" xfId="6216" xr:uid="{C4C64B09-5895-47F5-9E2B-723E32774C4C}"/>
    <cellStyle name="Nota 2 5 3 2 7 4" xfId="7854" xr:uid="{7E025795-5507-4C20-B5D4-3E32EC8C89B8}"/>
    <cellStyle name="Nota 2 5 3 2 8" xfId="1137" xr:uid="{BD949152-E74B-4944-AF4D-FBB27179B2DF}"/>
    <cellStyle name="Nota 2 5 3 2 9" xfId="3487" xr:uid="{24D9B230-2BDA-4295-BC5F-923C0D413F4D}"/>
    <cellStyle name="Nota 2 5 3 3" xfId="462" xr:uid="{E979716D-5EEB-469D-B97D-45F1913CF928}"/>
    <cellStyle name="Nota 2 5 3 3 2" xfId="1929" xr:uid="{E9E4F0C2-BE19-4CEB-A812-9AE790D280C1}"/>
    <cellStyle name="Nota 2 5 3 3 2 2" xfId="4243" xr:uid="{38589655-EE07-40F1-8D6B-857887B248FA}"/>
    <cellStyle name="Nota 2 5 3 3 2 3" xfId="6288" xr:uid="{1D49332B-3C10-461A-8FB0-5B2D7E3D2A9E}"/>
    <cellStyle name="Nota 2 5 3 3 2 4" xfId="7909" xr:uid="{B3BC8546-8892-44D7-ADFE-744065245990}"/>
    <cellStyle name="Nota 2 5 3 3 3" xfId="2384" xr:uid="{5B523AC3-BE75-4BBD-9260-81B5D7C8B810}"/>
    <cellStyle name="Nota 2 5 3 3 3 2" xfId="4698" xr:uid="{BD4AB96C-60BA-4677-8786-9B16319AFC8B}"/>
    <cellStyle name="Nota 2 5 3 3 3 3" xfId="6711" xr:uid="{3A03CBAC-4918-4F75-8656-134575BB4992}"/>
    <cellStyle name="Nota 2 5 3 3 3 4" xfId="8190" xr:uid="{27AAA4B3-EEAA-49C0-B83A-2FC3A037705E}"/>
    <cellStyle name="Nota 2 5 3 3 4" xfId="2795" xr:uid="{6BF8E690-9DF1-4008-B628-77CB9C8BC4D9}"/>
    <cellStyle name="Nota 2 5 3 3 4 2" xfId="5109" xr:uid="{3F27B1B1-C830-4810-91CB-4E4619B15FD8}"/>
    <cellStyle name="Nota 2 5 3 3 4 3" xfId="7103" xr:uid="{F84CE1A7-E45E-4416-A215-9C300FC4E276}"/>
    <cellStyle name="Nota 2 5 3 3 4 4" xfId="8454" xr:uid="{C1FE4F39-4944-499B-B3D0-A42DB7144190}"/>
    <cellStyle name="Nota 2 5 3 3 5" xfId="3076" xr:uid="{C384D05F-73DD-4672-8C4F-EAC7A20A4DDC}"/>
    <cellStyle name="Nota 2 5 3 3 5 2" xfId="5390" xr:uid="{A2B61FF5-DCF3-4080-A010-716A692EBD86}"/>
    <cellStyle name="Nota 2 5 3 3 5 3" xfId="7384" xr:uid="{86947A76-D5F8-405F-A30F-CC2443DF08F2}"/>
    <cellStyle name="Nota 2 5 3 3 5 4" xfId="8628" xr:uid="{6AB03A27-C99C-49BB-A3CD-40716DE841E3}"/>
    <cellStyle name="Nota 2 5 3 3 6" xfId="1310" xr:uid="{F66615D0-D1CF-4D12-919E-80CDF8976518}"/>
    <cellStyle name="Nota 2 5 3 3 7" xfId="3634" xr:uid="{428690E3-1A8E-4FF1-AF7C-6CD6239CF2EA}"/>
    <cellStyle name="Nota 2 5 3 3 8" xfId="5732" xr:uid="{77E2BA49-7386-4898-A546-FD9D977CED3C}"/>
    <cellStyle name="Nota 2 5 3 3 9" xfId="7546" xr:uid="{53EF99BD-8339-43D7-A56D-51E212A1D38D}"/>
    <cellStyle name="Nota 2 5 3 4" xfId="592" xr:uid="{C5CE6D8E-60CF-4A35-A10F-F2D18C130F05}"/>
    <cellStyle name="Nota 2 5 3 4 2" xfId="2050" xr:uid="{9ECCD86F-B85E-4F27-B450-CCCF7E5E5E9B}"/>
    <cellStyle name="Nota 2 5 3 4 2 2" xfId="4364" xr:uid="{6D1D6896-A7F0-4AF8-952B-CB11E97A9F1A}"/>
    <cellStyle name="Nota 2 5 3 4 2 3" xfId="6405" xr:uid="{5C674349-9957-43FE-BA6E-3337F1E53398}"/>
    <cellStyle name="Nota 2 5 3 4 2 4" xfId="7971" xr:uid="{5F70C7AE-762D-4C4C-B8D2-FFD70196E95A}"/>
    <cellStyle name="Nota 2 5 3 4 3" xfId="2502" xr:uid="{C1884FB0-D83F-48EB-B332-1FA9F88A7426}"/>
    <cellStyle name="Nota 2 5 3 4 3 2" xfId="4816" xr:uid="{49192959-CB70-49C5-A10F-05A893C74C42}"/>
    <cellStyle name="Nota 2 5 3 4 3 3" xfId="6826" xr:uid="{B29CD176-589B-4672-A81F-C089BA59349A}"/>
    <cellStyle name="Nota 2 5 3 4 3 4" xfId="8251" xr:uid="{413D464B-FD98-4568-897F-A63BEE382CBE}"/>
    <cellStyle name="Nota 2 5 3 4 4" xfId="2907" xr:uid="{150B8BE5-CC15-4004-9895-A3EAF69BE3E2}"/>
    <cellStyle name="Nota 2 5 3 4 4 2" xfId="5221" xr:uid="{ED1F18B6-7FA5-48A8-AEAD-E09ED7E0045E}"/>
    <cellStyle name="Nota 2 5 3 4 4 3" xfId="7215" xr:uid="{FFAEE3F1-0692-4BF4-900E-85B39FAFBB98}"/>
    <cellStyle name="Nota 2 5 3 4 4 4" xfId="8509" xr:uid="{747CCE05-BEEF-459E-A586-37CB3D816BAC}"/>
    <cellStyle name="Nota 2 5 3 4 5" xfId="3123" xr:uid="{63A35C73-200A-41F0-B52E-AC56F8A0EA4E}"/>
    <cellStyle name="Nota 2 5 3 4 5 2" xfId="5437" xr:uid="{5CB9F3A5-79BF-4C98-9313-18A6AE53AA06}"/>
    <cellStyle name="Nota 2 5 3 4 5 3" xfId="7431" xr:uid="{C778B762-2C43-44D5-86D1-F879C978AC45}"/>
    <cellStyle name="Nota 2 5 3 4 5 4" xfId="8675" xr:uid="{976F2C4C-351C-45A0-A7DD-CD07124FBCC4}"/>
    <cellStyle name="Nota 2 5 3 4 6" xfId="1440" xr:uid="{F0A55812-DFAB-41EC-86BB-3CEE5F7D84B9}"/>
    <cellStyle name="Nota 2 5 3 4 7" xfId="3756" xr:uid="{A5FA44FB-09CC-4B52-BD65-1011E3F55CFC}"/>
    <cellStyle name="Nota 2 5 3 4 8" xfId="5846" xr:uid="{9879E397-7F65-44CB-92B8-51A55BD07D49}"/>
    <cellStyle name="Nota 2 5 3 4 9" xfId="7600" xr:uid="{DDF9DFAA-5DBA-44CE-8388-B3BF93561A58}"/>
    <cellStyle name="Nota 2 5 3 5" xfId="574" xr:uid="{ACD8FE81-E6E9-45CA-837B-02494E63AD6E}"/>
    <cellStyle name="Nota 2 5 3 5 2" xfId="2032" xr:uid="{E1A6EB9C-51B9-49C8-A390-62302D5BF93A}"/>
    <cellStyle name="Nota 2 5 3 5 2 2" xfId="4346" xr:uid="{B6C15EEB-F30B-4CDF-AF36-390FC1F6BE9F}"/>
    <cellStyle name="Nota 2 5 3 5 2 3" xfId="6387" xr:uid="{A2E3CFE1-75A9-423C-BF4D-2E9D7549D182}"/>
    <cellStyle name="Nota 2 5 3 5 2 4" xfId="7963" xr:uid="{D8CC914B-9AC1-48CF-9CD8-F93E69515812}"/>
    <cellStyle name="Nota 2 5 3 5 3" xfId="2484" xr:uid="{022F60CC-2CAA-4BBB-8434-BC02A3E9A6CE}"/>
    <cellStyle name="Nota 2 5 3 5 3 2" xfId="4798" xr:uid="{22564C0D-44BF-4860-B2A2-B853B3A33C06}"/>
    <cellStyle name="Nota 2 5 3 5 3 3" xfId="6808" xr:uid="{0FBEA40D-897A-4ED2-BDD6-77754947B16B}"/>
    <cellStyle name="Nota 2 5 3 5 3 4" xfId="8243" xr:uid="{A3D9572F-B166-461A-94B7-7FA6D9178492}"/>
    <cellStyle name="Nota 2 5 3 5 4" xfId="2889" xr:uid="{1859B9FE-A49C-497E-9136-D2177CE7D033}"/>
    <cellStyle name="Nota 2 5 3 5 4 2" xfId="5203" xr:uid="{148CD08D-C2B0-4DB5-9B81-087413F3BB29}"/>
    <cellStyle name="Nota 2 5 3 5 4 3" xfId="7197" xr:uid="{FF2EF121-1D4A-439A-A7E9-322137864899}"/>
    <cellStyle name="Nota 2 5 3 5 4 4" xfId="8501" xr:uid="{974AF7F2-184D-4BF9-9764-BEE8A0421D4E}"/>
    <cellStyle name="Nota 2 5 3 5 5" xfId="3115" xr:uid="{0CBDD854-2818-4110-A292-FB6AE8ACA4FD}"/>
    <cellStyle name="Nota 2 5 3 5 5 2" xfId="5429" xr:uid="{B2448239-5F11-4F5C-8961-3C21D111722C}"/>
    <cellStyle name="Nota 2 5 3 5 5 3" xfId="7423" xr:uid="{56361EDB-CC7C-4BD0-9D8F-B62F8D753903}"/>
    <cellStyle name="Nota 2 5 3 5 5 4" xfId="8667" xr:uid="{E56E20FD-6637-47BE-BE2D-2C95588DBC1B}"/>
    <cellStyle name="Nota 2 5 3 5 6" xfId="1422" xr:uid="{8DF328FA-D6EE-4D44-B2B7-C74507FCF8A2}"/>
    <cellStyle name="Nota 2 5 3 5 7" xfId="3738" xr:uid="{8BBE5E47-4121-45C6-8497-6DABA761A134}"/>
    <cellStyle name="Nota 2 5 3 5 8" xfId="5828" xr:uid="{95D06E9F-A113-438F-A1B7-3BF4CB36EEA3}"/>
    <cellStyle name="Nota 2 5 3 5 9" xfId="7592" xr:uid="{0B607615-1AA0-4393-9923-B87ACE1961C6}"/>
    <cellStyle name="Nota 2 5 3 6" xfId="1682" xr:uid="{383ED4AC-7F9D-4341-9E38-93640BC8A29D}"/>
    <cellStyle name="Nota 2 5 3 6 2" xfId="3996" xr:uid="{636C75C0-3E65-49C8-8650-A19D481ED1EC}"/>
    <cellStyle name="Nota 2 5 3 6 3" xfId="6052" xr:uid="{A508A069-C2CB-4C44-8A5A-E0B94350CE52}"/>
    <cellStyle name="Nota 2 5 3 6 4" xfId="7763" xr:uid="{999832E9-7692-412F-B942-8EF1FE794583}"/>
    <cellStyle name="Nota 2 5 3 7" xfId="1628" xr:uid="{07E482A6-2D30-4D8C-8D55-B9C8DE7B752A}"/>
    <cellStyle name="Nota 2 5 3 7 2" xfId="3942" xr:uid="{46C0C72A-14ED-4ACC-A00D-3B573A98D6EF}"/>
    <cellStyle name="Nota 2 5 3 7 3" xfId="6003" xr:uid="{69CC1CDB-AD6C-4B76-87E0-A4C677AD1BDC}"/>
    <cellStyle name="Nota 2 5 3 7 4" xfId="7727" xr:uid="{1A0E2F50-CA22-4895-84E3-338DF2BCF3E8}"/>
    <cellStyle name="Nota 2 5 3 8" xfId="2707" xr:uid="{28DC474F-66B2-4272-8841-793D17BF4EC5}"/>
    <cellStyle name="Nota 2 5 3 8 2" xfId="5021" xr:uid="{B65D90AE-5676-47FF-8776-95931870A157}"/>
    <cellStyle name="Nota 2 5 3 8 3" xfId="7015" xr:uid="{9A56A3C2-3E4E-4239-A800-6E42E13C12DF}"/>
    <cellStyle name="Nota 2 5 3 8 4" xfId="8406" xr:uid="{19A61A80-E626-4FEF-ABDE-455D0B082A93}"/>
    <cellStyle name="Nota 2 5 3 9" xfId="1000" xr:uid="{6ABF43C0-8270-4A4E-9426-2137FC193554}"/>
    <cellStyle name="Nota 2 5 4" xfId="219" xr:uid="{FE987929-7C2C-4D8C-A72D-AB5E08ED5091}"/>
    <cellStyle name="Nota 2 5 4 10" xfId="5558" xr:uid="{826C7800-220F-4A24-917D-E14CBEE7FC74}"/>
    <cellStyle name="Nota 2 5 4 11" xfId="3413" xr:uid="{65931871-111E-4D81-9A75-87B836A1DCA8}"/>
    <cellStyle name="Nota 2 5 4 2" xfId="614" xr:uid="{550BACB5-CEA6-49BF-8B5E-6BD9D02A6D3C}"/>
    <cellStyle name="Nota 2 5 4 2 2" xfId="2072" xr:uid="{00B75EE2-7BB7-4B1D-ACD5-C5F1AA1C7AC1}"/>
    <cellStyle name="Nota 2 5 4 2 2 2" xfId="4386" xr:uid="{81D86C8C-FC75-46A3-9B45-FC15D9050374}"/>
    <cellStyle name="Nota 2 5 4 2 2 3" xfId="6426" xr:uid="{5D488C96-FBCE-4CDE-B4A6-929EAC8EF9A7}"/>
    <cellStyle name="Nota 2 5 4 2 2 4" xfId="7984" xr:uid="{FF07C638-18A3-4FE5-989C-A412228D3CCF}"/>
    <cellStyle name="Nota 2 5 4 2 3" xfId="2524" xr:uid="{3BD8F049-7A54-4026-B038-171FF1FF5DD2}"/>
    <cellStyle name="Nota 2 5 4 2 3 2" xfId="4838" xr:uid="{EE502FD9-BC8B-4E48-A58F-55F0DD64CADB}"/>
    <cellStyle name="Nota 2 5 4 2 3 3" xfId="6847" xr:uid="{8A98D999-8712-4B03-92C1-F4E8A1CCA376}"/>
    <cellStyle name="Nota 2 5 4 2 3 4" xfId="8264" xr:uid="{DC63817A-1832-472B-B47E-900E7D2E2B3C}"/>
    <cellStyle name="Nota 2 5 4 2 4" xfId="2927" xr:uid="{3EB470C7-2997-4722-ACD2-C22377531ABB}"/>
    <cellStyle name="Nota 2 5 4 2 4 2" xfId="5241" xr:uid="{DCDDB4F6-D3E3-4CAA-AF64-DB191BCCE2E8}"/>
    <cellStyle name="Nota 2 5 4 2 4 3" xfId="7235" xr:uid="{A000F459-C2F9-4ED3-80E2-A02FA9B6F223}"/>
    <cellStyle name="Nota 2 5 4 2 4 4" xfId="8520" xr:uid="{D4D0B6FA-F09D-4408-AB6B-34216C16CEE3}"/>
    <cellStyle name="Nota 2 5 4 2 5" xfId="3134" xr:uid="{85C2716A-093A-4F75-81BB-B82415BD26F6}"/>
    <cellStyle name="Nota 2 5 4 2 5 2" xfId="5448" xr:uid="{527BB7ED-A75F-4A87-82F8-4A3079967A80}"/>
    <cellStyle name="Nota 2 5 4 2 5 3" xfId="7442" xr:uid="{37C5F2F1-A05B-4429-A527-B956A9D0725C}"/>
    <cellStyle name="Nota 2 5 4 2 5 4" xfId="8686" xr:uid="{14296FA7-E43D-4D2A-8F40-F3956C3C5FD8}"/>
    <cellStyle name="Nota 2 5 4 2 6" xfId="1462" xr:uid="{2EAEA9E8-ADC9-401F-BD62-64C225694572}"/>
    <cellStyle name="Nota 2 5 4 2 7" xfId="3778" xr:uid="{AA71697A-1575-4CE6-A0D8-EA93D512034C}"/>
    <cellStyle name="Nota 2 5 4 2 8" xfId="5867" xr:uid="{0D825CED-76C3-4392-8909-3F30F4EAB86C}"/>
    <cellStyle name="Nota 2 5 4 2 9" xfId="7613" xr:uid="{E2933FDE-5798-4FB7-8948-AA0108AD8383}"/>
    <cellStyle name="Nota 2 5 4 3" xfId="690" xr:uid="{9FBA424A-BA66-4ABC-9110-8E1AE5EE2169}"/>
    <cellStyle name="Nota 2 5 4 3 2" xfId="2148" xr:uid="{CC76FE98-5415-437F-9716-B8C83B963CA1}"/>
    <cellStyle name="Nota 2 5 4 3 2 2" xfId="4462" xr:uid="{E21B74BD-A58A-4834-9FE0-C68053509739}"/>
    <cellStyle name="Nota 2 5 4 3 2 3" xfId="6484" xr:uid="{D859A62F-FD56-4412-9110-CE7D7BC20491}"/>
    <cellStyle name="Nota 2 5 4 3 2 4" xfId="8055" xr:uid="{26FB961B-8B43-4B25-9483-93BF9C03255E}"/>
    <cellStyle name="Nota 2 5 4 3 3" xfId="2600" xr:uid="{B06FA10E-B599-4FE9-94F2-5804FDB70BD8}"/>
    <cellStyle name="Nota 2 5 4 3 3 2" xfId="4914" xr:uid="{89272A3D-8637-445E-A903-8C12B99D52BE}"/>
    <cellStyle name="Nota 2 5 4 3 3 3" xfId="6908" xr:uid="{0D009954-0196-45BC-B337-BB747430D88B}"/>
    <cellStyle name="Nota 2 5 4 3 3 4" xfId="8335" xr:uid="{40091C89-7073-423D-8742-183CE811A6FA}"/>
    <cellStyle name="Nota 2 5 4 3 4" xfId="2975" xr:uid="{C106B590-3882-488F-ACEE-291330C68B13}"/>
    <cellStyle name="Nota 2 5 4 3 4 2" xfId="5289" xr:uid="{D20D1168-6AE2-4181-9E23-E0E42725B662}"/>
    <cellStyle name="Nota 2 5 4 3 4 3" xfId="7283" xr:uid="{446E4D2A-81F8-4AAF-B395-62931578A9BF}"/>
    <cellStyle name="Nota 2 5 4 3 4 4" xfId="8563" xr:uid="{8E974731-E3C3-4DD5-83EB-1CC0199ED736}"/>
    <cellStyle name="Nota 2 5 4 3 5" xfId="3175" xr:uid="{DE3DE3ED-BF82-407D-931E-02C2051FBEE0}"/>
    <cellStyle name="Nota 2 5 4 3 5 2" xfId="5489" xr:uid="{4480DDBA-2BD6-4F9D-9502-3445327C22FA}"/>
    <cellStyle name="Nota 2 5 4 3 5 3" xfId="7483" xr:uid="{DE11E769-D36A-45A2-B569-F1FF57001212}"/>
    <cellStyle name="Nota 2 5 4 3 5 4" xfId="8727" xr:uid="{A3EDEADA-EEA3-4B10-936D-8A139A8AB26E}"/>
    <cellStyle name="Nota 2 5 4 3 6" xfId="1538" xr:uid="{22DC31AF-5648-4E0B-B16B-982F68870884}"/>
    <cellStyle name="Nota 2 5 4 3 7" xfId="3854" xr:uid="{22008A69-CF32-4261-BCD1-D944BCF7DCCB}"/>
    <cellStyle name="Nota 2 5 4 3 8" xfId="5921" xr:uid="{E47A59F9-E97B-422E-BD29-4FAA112B758B}"/>
    <cellStyle name="Nota 2 5 4 3 9" xfId="7684" xr:uid="{E8600EB4-E613-4F25-83F4-81F0EFBA98C5}"/>
    <cellStyle name="Nota 2 5 4 4" xfId="1725" xr:uid="{993374D0-DBF2-41F8-B4F6-D44532AFC4AD}"/>
    <cellStyle name="Nota 2 5 4 4 2" xfId="4039" xr:uid="{0022439B-942F-40B8-840C-6BF190EF9FA2}"/>
    <cellStyle name="Nota 2 5 4 4 3" xfId="6092" xr:uid="{565C436A-1269-46C6-8CE4-41355EF6315D}"/>
    <cellStyle name="Nota 2 5 4 4 4" xfId="7787" xr:uid="{DFBD6BCE-93EE-4F55-8DE1-B043AAB05575}"/>
    <cellStyle name="Nota 2 5 4 5" xfId="1882" xr:uid="{5B0CBA56-57FE-40F6-AA35-B647B73E59AB}"/>
    <cellStyle name="Nota 2 5 4 5 2" xfId="4196" xr:uid="{CED6CF41-0196-4359-864F-1EA96F5C199D}"/>
    <cellStyle name="Nota 2 5 4 5 3" xfId="6242" xr:uid="{FC231592-BCDF-42A3-BB63-DD8B97970065}"/>
    <cellStyle name="Nota 2 5 4 5 4" xfId="7878" xr:uid="{28E8150D-53E5-4AC4-A7E0-BBB8E9712861}"/>
    <cellStyle name="Nota 2 5 4 6" xfId="2307" xr:uid="{459B7169-0A9E-4EA7-8BF1-D946B5AEBB33}"/>
    <cellStyle name="Nota 2 5 4 6 2" xfId="4621" xr:uid="{622C11DF-75E8-44FF-BA68-569CF1DB5250}"/>
    <cellStyle name="Nota 2 5 4 6 3" xfId="6643" xr:uid="{10BD2DC5-8F69-4E26-AEAB-530815F70870}"/>
    <cellStyle name="Nota 2 5 4 6 4" xfId="8135" xr:uid="{725B95B9-F1F8-4899-881C-8928F6ACFD48}"/>
    <cellStyle name="Nota 2 5 4 7" xfId="2753" xr:uid="{5949DBC6-C2CB-4664-AC97-54FD88A3AA67}"/>
    <cellStyle name="Nota 2 5 4 7 2" xfId="5067" xr:uid="{4BF45444-C7B9-4DFD-BAA5-45D6D9A5E566}"/>
    <cellStyle name="Nota 2 5 4 7 3" xfId="7061" xr:uid="{A6929AF1-619F-4F16-B933-1E6217EF9E3B}"/>
    <cellStyle name="Nota 2 5 4 7 4" xfId="8426" xr:uid="{E2454664-1F30-45C9-8A7E-4B63A035FEC1}"/>
    <cellStyle name="Nota 2 5 4 8" xfId="1067" xr:uid="{F45BAE66-6C84-4C16-BC58-552C507F0F1B}"/>
    <cellStyle name="Nota 2 5 4 9" xfId="3425" xr:uid="{9D7EBBD0-4725-43C7-A235-865567E61CC7}"/>
    <cellStyle name="Nota 2 5 5" xfId="391" xr:uid="{C1BA8E7B-387F-4B79-A7E6-44076B5A1916}"/>
    <cellStyle name="Nota 2 5 5 2" xfId="1872" xr:uid="{5B5C0557-7C52-4537-8CD3-6BD3E8BB07FA}"/>
    <cellStyle name="Nota 2 5 5 2 2" xfId="4186" xr:uid="{F8063345-FC69-4487-AF4F-9D531B1D9803}"/>
    <cellStyle name="Nota 2 5 5 2 3" xfId="6234" xr:uid="{0C4B30E5-B111-4344-A812-B19B1F3B6634}"/>
    <cellStyle name="Nota 2 5 5 2 4" xfId="7870" xr:uid="{B3A49D99-2940-4A7E-B524-7E67E15830BC}"/>
    <cellStyle name="Nota 2 5 5 3" xfId="2329" xr:uid="{64B9CD06-A6D9-4BAD-9725-8B63B3D4065F}"/>
    <cellStyle name="Nota 2 5 5 3 2" xfId="4643" xr:uid="{BF7B984C-4CAE-47B7-B1DC-C5A43AA4D1CD}"/>
    <cellStyle name="Nota 2 5 5 3 3" xfId="6661" xr:uid="{42AE3E53-AA8C-4D50-AE52-0B14E5C7BD06}"/>
    <cellStyle name="Nota 2 5 5 3 4" xfId="8153" xr:uid="{7734D3E3-EF3A-43A0-87D4-B326A1865904}"/>
    <cellStyle name="Nota 2 5 5 4" xfId="2748" xr:uid="{2CFE793C-F38C-4AD9-9943-985DE749FA1B}"/>
    <cellStyle name="Nota 2 5 5 4 2" xfId="5062" xr:uid="{2DA44547-17E8-4564-8F6F-2D59166D29E9}"/>
    <cellStyle name="Nota 2 5 5 4 3" xfId="7056" xr:uid="{93355805-54C2-42A6-869F-84CB323C6A36}"/>
    <cellStyle name="Nota 2 5 5 4 4" xfId="8423" xr:uid="{7D40A0F8-298C-438D-8DC7-6A1FE1FACA8F}"/>
    <cellStyle name="Nota 2 5 5 5" xfId="3054" xr:uid="{F8E67E7C-5D37-471E-B4A6-081432636EFC}"/>
    <cellStyle name="Nota 2 5 5 5 2" xfId="5368" xr:uid="{F035A8E9-3C90-4BC9-A749-D36EC97935F4}"/>
    <cellStyle name="Nota 2 5 5 5 3" xfId="7362" xr:uid="{41EA2C4A-1ABA-4684-94A9-1DA3165F9812}"/>
    <cellStyle name="Nota 2 5 5 5 4" xfId="8606" xr:uid="{D7490FBE-5A6A-4B3C-93A4-CEEADA17E13A}"/>
    <cellStyle name="Nota 2 5 5 6" xfId="1239" xr:uid="{7BF9475F-8AC2-47EE-9540-5A41AC91623A}"/>
    <cellStyle name="Nota 2 5 5 7" xfId="3572" xr:uid="{5F1A92E6-3A1F-47D9-984E-2183C26BE09A}"/>
    <cellStyle name="Nota 2 5 5 8" xfId="5686" xr:uid="{B369B3A3-CE06-4B60-A127-BF7CDB3DBA10}"/>
    <cellStyle name="Nota 2 5 5 9" xfId="7518" xr:uid="{387623DB-A933-483E-A839-C97D6A3BD617}"/>
    <cellStyle name="Nota 2 5 6" xfId="922" xr:uid="{A992BBC5-1E93-4EE2-A97A-F9E97E313761}"/>
    <cellStyle name="Nota 2 5 6 2" xfId="3304" xr:uid="{FDF9C4BD-CD97-4B94-A7A2-85705B74A093}"/>
    <cellStyle name="Nota 2 5 6 3" xfId="3355" xr:uid="{4C8EB407-70FF-4ED7-BB86-D80A5E34AF75}"/>
    <cellStyle name="Nota 2 5 6 4" xfId="3496" xr:uid="{59510CAA-3CEC-4E08-AE45-3A73F6FE9FC6}"/>
    <cellStyle name="Nota 2 5 7" xfId="825" xr:uid="{0BC41A1D-9ECF-465D-91FD-A0A056EE7252}"/>
    <cellStyle name="Nota 2 5 8" xfId="3221" xr:uid="{97C13642-9623-4D68-BFB4-1E7D34728E8E}"/>
    <cellStyle name="Nota 2 5 9" xfId="3443" xr:uid="{3D950541-9C26-449C-80E6-A4853729B68B}"/>
    <cellStyle name="Nota 2 6" xfId="71" xr:uid="{59A0070B-8AAC-4C39-9356-7A6D30259845}"/>
    <cellStyle name="Nota 2 6 10" xfId="1700" xr:uid="{0E5F2693-9910-4C39-937C-3BC50873AB0C}"/>
    <cellStyle name="Nota 2 6 10 2" xfId="4014" xr:uid="{F106482E-0F28-4DAC-96E7-3F16DA49FCC1}"/>
    <cellStyle name="Nota 2 6 10 3" xfId="6068" xr:uid="{4612D7A9-A8D6-408D-A837-BDE76F1402B6}"/>
    <cellStyle name="Nota 2 6 10 4" xfId="7772" xr:uid="{93866BA1-85F6-41A9-B225-4C45CB5759A5}"/>
    <cellStyle name="Nota 2 6 11" xfId="830" xr:uid="{F37B8B90-4E61-4D3D-93B3-0E53A2C9C245}"/>
    <cellStyle name="Nota 2 6 12" xfId="3225" xr:uid="{D422B344-476B-4215-AFCD-1FFE36B3E25C}"/>
    <cellStyle name="Nota 2 6 13" xfId="6223" xr:uid="{55497617-9FF1-44D4-9EB4-7E5480551827}"/>
    <cellStyle name="Nota 2 6 2" xfId="117" xr:uid="{61297F46-D0D6-407B-9317-C8A9F2C407DE}"/>
    <cellStyle name="Nota 2 6 2 10" xfId="2223" xr:uid="{518E8561-ABBE-4630-8D98-8AE0A3513469}"/>
    <cellStyle name="Nota 2 6 2 10 2" xfId="4537" xr:uid="{35535119-1AF5-4D15-AAAF-40D24D174C65}"/>
    <cellStyle name="Nota 2 6 2 10 3" xfId="6559" xr:uid="{E7E54BBC-3950-4C69-8EB9-0D1664722661}"/>
    <cellStyle name="Nota 2 6 2 10 4" xfId="8093" xr:uid="{86F6C307-F714-400C-99D1-5F8B9FA61169}"/>
    <cellStyle name="Nota 2 6 2 11" xfId="2219" xr:uid="{1B064B84-1682-4FC2-8B09-3AB530D54594}"/>
    <cellStyle name="Nota 2 6 2 11 2" xfId="4533" xr:uid="{69338ED1-97CF-49FC-B087-A25DFBF40183}"/>
    <cellStyle name="Nota 2 6 2 11 3" xfId="6555" xr:uid="{4831ADA0-719D-4D89-B0C3-1AFD49B25BA3}"/>
    <cellStyle name="Nota 2 6 2 11 4" xfId="8090" xr:uid="{0CC7A850-1E2D-4D37-8BBC-704E8645F2F8}"/>
    <cellStyle name="Nota 2 6 2 12" xfId="867" xr:uid="{178D59D5-9D84-4A05-B2C1-4709A6111E38}"/>
    <cellStyle name="Nota 2 6 2 13" xfId="3254" xr:uid="{6C2851F3-FB38-4575-9FBB-3972E845740F}"/>
    <cellStyle name="Nota 2 6 2 14" xfId="6726" xr:uid="{F39F0A7F-BB3E-4041-AC1A-08C26B981DBC}"/>
    <cellStyle name="Nota 2 6 2 2" xfId="189" xr:uid="{15E161C1-C2B8-428A-9576-D3D712CE9141}"/>
    <cellStyle name="Nota 2 6 2 2 2" xfId="326" xr:uid="{A67537C7-7CE9-4612-872E-62165CB99F8E}"/>
    <cellStyle name="Nota 2 6 2 2 2 10" xfId="5635" xr:uid="{5E798E76-1956-49BE-B3A7-BEF3C34036F0}"/>
    <cellStyle name="Nota 2 6 2 2 2 11" xfId="5671" xr:uid="{AF9D20D5-7816-42E1-84E6-74A0066132C7}"/>
    <cellStyle name="Nota 2 6 2 2 2 2" xfId="683" xr:uid="{0C897FCE-9397-466A-8C65-7893754C1237}"/>
    <cellStyle name="Nota 2 6 2 2 2 2 2" xfId="2141" xr:uid="{A4148B44-45F0-4B64-BB3C-7C0B0D29980E}"/>
    <cellStyle name="Nota 2 6 2 2 2 2 2 2" xfId="4455" xr:uid="{F40DE771-183B-4B46-87AF-F0C93F18D150}"/>
    <cellStyle name="Nota 2 6 2 2 2 2 2 3" xfId="6479" xr:uid="{5965BD3B-90DD-4401-A14B-FC7965E8893E}"/>
    <cellStyle name="Nota 2 6 2 2 2 2 2 4" xfId="8049" xr:uid="{CEBF39C5-95F6-464C-B973-27F164B58562}"/>
    <cellStyle name="Nota 2 6 2 2 2 2 3" xfId="2593" xr:uid="{100BC328-274D-46D2-A3CA-74BCCDBD137A}"/>
    <cellStyle name="Nota 2 6 2 2 2 2 3 2" xfId="4907" xr:uid="{C45F0418-05B2-47B8-8CB0-3DA389E4F1ED}"/>
    <cellStyle name="Nota 2 6 2 2 2 2 3 3" xfId="6902" xr:uid="{DE3D5427-3666-4F63-88E7-908B4510593F}"/>
    <cellStyle name="Nota 2 6 2 2 2 2 3 4" xfId="8329" xr:uid="{0C0196E3-FB7D-4A19-8CCF-6C7694F16889}"/>
    <cellStyle name="Nota 2 6 2 2 2 2 4" xfId="2972" xr:uid="{2DD8A43F-46D7-40B1-9C82-B56DF12FF53F}"/>
    <cellStyle name="Nota 2 6 2 2 2 2 4 2" xfId="5286" xr:uid="{835DCFFE-32D5-48D2-BC92-B6D49AC82D75}"/>
    <cellStyle name="Nota 2 6 2 2 2 2 4 3" xfId="7280" xr:uid="{99099C96-AF51-44A0-AE1A-D4BEB9A94BEA}"/>
    <cellStyle name="Nota 2 6 2 2 2 2 4 4" xfId="8561" xr:uid="{E998050F-B0C9-471B-A85B-9FDC495820BD}"/>
    <cellStyle name="Nota 2 6 2 2 2 2 5" xfId="3173" xr:uid="{DFF7D24F-16FB-4AED-9815-C29DDD4ABD37}"/>
    <cellStyle name="Nota 2 6 2 2 2 2 5 2" xfId="5487" xr:uid="{EF903200-0023-41B3-A389-F6F6444C4BC1}"/>
    <cellStyle name="Nota 2 6 2 2 2 2 5 3" xfId="7481" xr:uid="{43C415C4-685A-4687-8C1B-52FF64DB8079}"/>
    <cellStyle name="Nota 2 6 2 2 2 2 5 4" xfId="8725" xr:uid="{F8AF0137-EB55-4B39-A7A4-986474948D2B}"/>
    <cellStyle name="Nota 2 6 2 2 2 2 6" xfId="1531" xr:uid="{B7E16C16-2C91-418F-8990-59D3FD01D619}"/>
    <cellStyle name="Nota 2 6 2 2 2 2 7" xfId="3847" xr:uid="{C5E6FF0A-A4DA-4ED9-A1D0-0B3A8D0F4E5C}"/>
    <cellStyle name="Nota 2 6 2 2 2 2 8" xfId="5917" xr:uid="{AE2E6EE7-B47C-461B-8C08-09550335CF31}"/>
    <cellStyle name="Nota 2 6 2 2 2 2 9" xfId="7678" xr:uid="{D3D1791C-5D95-48C5-B06E-BFBF9B643BD8}"/>
    <cellStyle name="Nota 2 6 2 2 2 3" xfId="755" xr:uid="{8FB93794-014C-44FE-B63C-CD7BF774AEB7}"/>
    <cellStyle name="Nota 2 6 2 2 2 3 2" xfId="2213" xr:uid="{A5638227-A0F7-4746-B1A3-9A17AAD0C20C}"/>
    <cellStyle name="Nota 2 6 2 2 2 3 2 2" xfId="4527" xr:uid="{5A091A0B-C42B-4245-AC6E-1CF74818CF52}"/>
    <cellStyle name="Nota 2 6 2 2 2 3 2 3" xfId="6549" xr:uid="{F4DB8025-E044-442A-8B5A-C4C63BC32F5F}"/>
    <cellStyle name="Nota 2 6 2 2 2 3 2 4" xfId="8088" xr:uid="{547F7BCF-61F3-49E4-B53A-06380A1632CD}"/>
    <cellStyle name="Nota 2 6 2 2 2 3 3" xfId="2665" xr:uid="{B0856892-F520-4151-A80B-9EAC29D0C063}"/>
    <cellStyle name="Nota 2 6 2 2 2 3 3 2" xfId="4979" xr:uid="{5BB9CC27-4DED-46F7-AB74-3AD108D22C7B}"/>
    <cellStyle name="Nota 2 6 2 2 2 3 3 3" xfId="6973" xr:uid="{DDDFD599-DEFF-4596-9ABD-E279A2559E06}"/>
    <cellStyle name="Nota 2 6 2 2 2 3 3 4" xfId="8368" xr:uid="{28260945-AA25-43BA-ACC8-366A8D497C85}"/>
    <cellStyle name="Nota 2 6 2 2 2 3 4" xfId="3040" xr:uid="{A64A1B8A-D572-4F1E-8095-112D6A938058}"/>
    <cellStyle name="Nota 2 6 2 2 2 3 4 2" xfId="5354" xr:uid="{2920B829-CB7C-412A-AF1C-E77BF34C936E}"/>
    <cellStyle name="Nota 2 6 2 2 2 3 4 3" xfId="7348" xr:uid="{514ABC83-0684-406F-B9E1-C2ED174CEEFD}"/>
    <cellStyle name="Nota 2 6 2 2 2 3 4 4" xfId="8596" xr:uid="{2836F623-042E-4F25-B63C-CCB3B3209E84}"/>
    <cellStyle name="Nota 2 6 2 2 2 3 5" xfId="3208" xr:uid="{2BF61425-39B7-4F21-8384-9843362EBC51}"/>
    <cellStyle name="Nota 2 6 2 2 2 3 5 2" xfId="5522" xr:uid="{4AE671B7-D419-419F-8E34-D89306222B56}"/>
    <cellStyle name="Nota 2 6 2 2 2 3 5 3" xfId="7516" xr:uid="{EEB206A5-23AC-4E4F-AE20-8402E2A3C491}"/>
    <cellStyle name="Nota 2 6 2 2 2 3 5 4" xfId="8760" xr:uid="{C1942FB3-716F-45FF-99C6-C1B1EF108609}"/>
    <cellStyle name="Nota 2 6 2 2 2 3 6" xfId="1603" xr:uid="{80A8F6AE-889E-47BB-8B7B-56EF1FCE52C2}"/>
    <cellStyle name="Nota 2 6 2 2 2 3 7" xfId="3919" xr:uid="{21484B17-83F7-4E60-9680-DA031EE9C20E}"/>
    <cellStyle name="Nota 2 6 2 2 2 3 8" xfId="5986" xr:uid="{CA8777EF-D2F4-40B9-8237-A2C68D677BB9}"/>
    <cellStyle name="Nota 2 6 2 2 2 3 9" xfId="7717" xr:uid="{34D2BF5E-9A36-4805-BABD-F5324C2FF3D5}"/>
    <cellStyle name="Nota 2 6 2 2 2 4" xfId="1814" xr:uid="{81E8478A-8F33-4402-AA01-9116DAC01D5F}"/>
    <cellStyle name="Nota 2 6 2 2 2 4 2" xfId="4128" xr:uid="{018DB3F8-D800-46EA-AFDF-CB4760C1217B}"/>
    <cellStyle name="Nota 2 6 2 2 2 4 3" xfId="6177" xr:uid="{2A6421F6-A598-4B85-B404-5E6DF0F04343}"/>
    <cellStyle name="Nota 2 6 2 2 2 4 4" xfId="7841" xr:uid="{5DC2BF6A-6BFB-41C6-8A7A-A183D3DD3034}"/>
    <cellStyle name="Nota 2 6 2 2 2 5" xfId="2271" xr:uid="{FF263BE3-8C8A-4D16-908D-49B74F0C80B3}"/>
    <cellStyle name="Nota 2 6 2 2 2 5 2" xfId="4585" xr:uid="{D0D112F8-61F6-4675-ADBA-FCED464C44F2}"/>
    <cellStyle name="Nota 2 6 2 2 2 5 3" xfId="6607" xr:uid="{06159A81-752E-4D48-B95F-936EFA6B8A5B}"/>
    <cellStyle name="Nota 2 6 2 2 2 5 4" xfId="8124" xr:uid="{6666C193-B2B8-4412-ACA5-B04A09921163}"/>
    <cellStyle name="Nota 2 6 2 2 2 6" xfId="2704" xr:uid="{F00CF705-FF16-4E2C-BFA9-3F4E56115841}"/>
    <cellStyle name="Nota 2 6 2 2 2 6 2" xfId="5018" xr:uid="{AB1A8367-2B82-48FE-B5B1-B593C4C2BD5B}"/>
    <cellStyle name="Nota 2 6 2 2 2 6 3" xfId="7012" xr:uid="{0F798513-F158-4AF5-B7D3-E40944B984B9}"/>
    <cellStyle name="Nota 2 6 2 2 2 6 4" xfId="8403" xr:uid="{74CE33FF-A634-4A73-82D8-A048A0D45BF2}"/>
    <cellStyle name="Nota 2 6 2 2 2 7" xfId="2393" xr:uid="{B89807BB-68CA-4281-91E6-FC0AE86095A2}"/>
    <cellStyle name="Nota 2 6 2 2 2 7 2" xfId="4707" xr:uid="{1CE4844C-8F57-4A5D-BF83-A88CF5914DDD}"/>
    <cellStyle name="Nota 2 6 2 2 2 7 3" xfId="6720" xr:uid="{D40FAAB2-EAA6-462F-9DF4-F5F4A85ABAF5}"/>
    <cellStyle name="Nota 2 6 2 2 2 7 4" xfId="8195" xr:uid="{3F85392E-A310-4EF4-B6B5-14E23B829690}"/>
    <cellStyle name="Nota 2 6 2 2 2 8" xfId="1174" xr:uid="{0DFCF546-FDE5-4982-A0EC-341915082D74}"/>
    <cellStyle name="Nota 2 6 2 2 2 9" xfId="3514" xr:uid="{9CBF6C49-15B3-47F2-B7BA-DA8346B8E48A}"/>
    <cellStyle name="Nota 2 6 2 2 3" xfId="500" xr:uid="{ED89AF76-CF7A-4BB9-8A1F-3F6FC724DCE0}"/>
    <cellStyle name="Nota 2 6 2 2 3 2" xfId="1961" xr:uid="{67343B58-46D4-4DDF-8DFB-AB93CE379896}"/>
    <cellStyle name="Nota 2 6 2 2 3 2 2" xfId="4275" xr:uid="{E2BDA2A2-5195-47A1-AEB8-A1E240FA73AE}"/>
    <cellStyle name="Nota 2 6 2 2 3 2 3" xfId="6317" xr:uid="{51E0E712-0E7E-4442-8B38-BE1104DAE489}"/>
    <cellStyle name="Nota 2 6 2 2 3 2 4" xfId="7931" xr:uid="{2D7EFE2B-B8D7-429F-A598-0A109186B6D7}"/>
    <cellStyle name="Nota 2 6 2 2 3 3" xfId="2414" xr:uid="{BD052A75-A0D3-451C-A361-F400984EC2E2}"/>
    <cellStyle name="Nota 2 6 2 2 3 3 2" xfId="4728" xr:uid="{E21F3FA3-F7FD-449E-B37F-71EC91BB7399}"/>
    <cellStyle name="Nota 2 6 2 2 3 3 3" xfId="6740" xr:uid="{451B6515-8057-435E-9920-6AD848E8F993}"/>
    <cellStyle name="Nota 2 6 2 2 3 3 4" xfId="8212" xr:uid="{D5D761AD-91DD-49EF-9E7E-DD3F9DFE34BC}"/>
    <cellStyle name="Nota 2 6 2 2 3 4" xfId="2821" xr:uid="{73D03929-EFF0-4C8A-B81A-B9FED2370911}"/>
    <cellStyle name="Nota 2 6 2 2 3 4 2" xfId="5135" xr:uid="{DAD1C63E-CD78-49E3-8EEB-F8423A58D9B8}"/>
    <cellStyle name="Nota 2 6 2 2 3 4 3" xfId="7129" xr:uid="{CEC9CF74-DBE9-46E0-A73F-260F8D706D5D}"/>
    <cellStyle name="Nota 2 6 2 2 3 4 4" xfId="8472" xr:uid="{97C0901E-FCD0-4CA9-80F8-38857476473F}"/>
    <cellStyle name="Nota 2 6 2 2 3 5" xfId="3089" xr:uid="{6031C208-D5A4-406D-A358-7B42B0E3E97F}"/>
    <cellStyle name="Nota 2 6 2 2 3 5 2" xfId="5403" xr:uid="{E4BC1BB6-6696-40B8-9980-D3205866486F}"/>
    <cellStyle name="Nota 2 6 2 2 3 5 3" xfId="7397" xr:uid="{C068F897-D587-433B-9825-A7BB7DF185FC}"/>
    <cellStyle name="Nota 2 6 2 2 3 5 4" xfId="8641" xr:uid="{200B6525-A25A-4706-A684-C8D037340596}"/>
    <cellStyle name="Nota 2 6 2 2 3 6" xfId="1348" xr:uid="{2863CF64-408D-47A4-AA20-9BF558EB7271}"/>
    <cellStyle name="Nota 2 6 2 2 3 7" xfId="3665" xr:uid="{FE396EEC-E3E7-4628-9AE7-0B9B49893FB8}"/>
    <cellStyle name="Nota 2 6 2 2 3 8" xfId="5758" xr:uid="{44E6EDD8-F95D-40D2-B5EC-7233155B3AA1}"/>
    <cellStyle name="Nota 2 6 2 2 3 9" xfId="7562" xr:uid="{FE4F9893-B8C4-4FD2-B255-D2CB9726DE46}"/>
    <cellStyle name="Nota 2 6 2 2 4" xfId="2459" xr:uid="{513D7148-35FE-4276-9BAA-BE4A16969096}"/>
    <cellStyle name="Nota 2 6 2 2 4 2" xfId="4773" xr:uid="{5A7E1AA7-0C44-4428-B476-BBBF8076F062}"/>
    <cellStyle name="Nota 2 6 2 2 4 3" xfId="6783" xr:uid="{6E56A14A-9D1A-4189-8935-61ACF9A759B5}"/>
    <cellStyle name="Nota 2 6 2 2 4 4" xfId="8225" xr:uid="{5DFDB8FB-82A9-4EB3-9699-13B87C6BF6B0}"/>
    <cellStyle name="Nota 2 6 2 2 5" xfId="1037" xr:uid="{94C35822-5D10-4A19-A04C-CB08987A92F7}"/>
    <cellStyle name="Nota 2 6 2 2 6" xfId="3401" xr:uid="{EB527589-CF46-4372-8F63-833A9B8B8355}"/>
    <cellStyle name="Nota 2 6 2 2 7" xfId="5539" xr:uid="{6A412369-2CB7-40EA-8BA7-D503C7941755}"/>
    <cellStyle name="Nota 2 6 2 2 8" xfId="5618" xr:uid="{95E00474-A736-4041-81BC-CF3B3288F772}"/>
    <cellStyle name="Nota 2 6 2 3" xfId="257" xr:uid="{C19371B6-756A-44FF-AA76-B5559EECACDE}"/>
    <cellStyle name="Nota 2 6 2 3 10" xfId="3459" xr:uid="{99D44931-FE55-484C-BC7A-92AC5C818DE4}"/>
    <cellStyle name="Nota 2 6 2 3 11" xfId="5582" xr:uid="{641E77EB-D224-4D10-9052-00A47A61B875}"/>
    <cellStyle name="Nota 2 6 2 3 12" xfId="5623" xr:uid="{DFEED5AC-2FAE-443F-B70D-5B2C8CCEFC5F}"/>
    <cellStyle name="Nota 2 6 2 3 2" xfId="635" xr:uid="{2E2F149E-0CE1-41C9-B2E2-95268A6500D0}"/>
    <cellStyle name="Nota 2 6 2 3 2 2" xfId="2093" xr:uid="{4D0C0DFA-8294-44CB-BEE2-42E06B2EA30E}"/>
    <cellStyle name="Nota 2 6 2 3 2 2 2" xfId="4407" xr:uid="{A55FDC75-2625-4432-B8BF-AA6E6AE131CB}"/>
    <cellStyle name="Nota 2 6 2 3 2 2 3" xfId="6445" xr:uid="{E36D6EB9-F700-4C3D-B9F7-D4733BDA9067}"/>
    <cellStyle name="Nota 2 6 2 3 2 2 4" xfId="8004" xr:uid="{1FDAC681-E682-4790-8612-8B44192D3CE6}"/>
    <cellStyle name="Nota 2 6 2 3 2 3" xfId="2545" xr:uid="{E2C6A099-F106-46B2-B98B-0E6950DD1267}"/>
    <cellStyle name="Nota 2 6 2 3 2 3 2" xfId="4859" xr:uid="{74960A26-D422-4368-A361-79D9699327E4}"/>
    <cellStyle name="Nota 2 6 2 3 2 3 3" xfId="6866" xr:uid="{217BDA2B-9011-42A0-B94B-E8A37B1DA487}"/>
    <cellStyle name="Nota 2 6 2 3 2 3 4" xfId="8284" xr:uid="{40CF6415-C314-49A3-BD3F-29B30DD5A192}"/>
    <cellStyle name="Nota 2 6 2 3 2 4" xfId="2943" xr:uid="{77DBC687-FCF0-4FFC-AF0F-B39DF83D65FB}"/>
    <cellStyle name="Nota 2 6 2 3 2 4 2" xfId="5257" xr:uid="{12ECF343-2456-42F4-9B1D-25895746DBFC}"/>
    <cellStyle name="Nota 2 6 2 3 2 4 3" xfId="7251" xr:uid="{E558C2FD-1BE8-4229-924F-349DDE1FC432}"/>
    <cellStyle name="Nota 2 6 2 3 2 4 4" xfId="8535" xr:uid="{2A6CCF09-0142-495C-8947-9C91ED8C0A49}"/>
    <cellStyle name="Nota 2 6 2 3 2 5" xfId="3149" xr:uid="{F32A539D-6AD3-4A0A-82B0-F27DBDA3ABB9}"/>
    <cellStyle name="Nota 2 6 2 3 2 5 2" xfId="5463" xr:uid="{25F69D33-82E7-48F9-8403-13D676CD7F0D}"/>
    <cellStyle name="Nota 2 6 2 3 2 5 3" xfId="7457" xr:uid="{5D72FAB4-529B-4A2C-A672-6A00ABD46AFD}"/>
    <cellStyle name="Nota 2 6 2 3 2 5 4" xfId="8701" xr:uid="{3C6D0B17-914E-4EDA-ADE4-55A8242768E4}"/>
    <cellStyle name="Nota 2 6 2 3 2 6" xfId="1483" xr:uid="{B6CE96D7-BE42-41FA-A6D6-39A62746357E}"/>
    <cellStyle name="Nota 2 6 2 3 2 7" xfId="3799" xr:uid="{FC7E6A66-ED66-4534-80FC-D1CF933689D5}"/>
    <cellStyle name="Nota 2 6 2 3 2 8" xfId="5884" xr:uid="{F6520408-9E89-4A2F-95F9-57C808AC01C7}"/>
    <cellStyle name="Nota 2 6 2 3 2 9" xfId="7633" xr:uid="{59375141-5CB5-47C3-9DDD-45A673660D4E}"/>
    <cellStyle name="Nota 2 6 2 3 3" xfId="713" xr:uid="{9BFD6B48-305F-4F52-A263-9361DEEC654E}"/>
    <cellStyle name="Nota 2 6 2 3 3 2" xfId="2171" xr:uid="{E55ED38B-AB3E-4CAE-9C8E-3CA0BFBA66CD}"/>
    <cellStyle name="Nota 2 6 2 3 3 2 2" xfId="4485" xr:uid="{BB542605-44E1-46E0-A9D9-5F3DE09CCF22}"/>
    <cellStyle name="Nota 2 6 2 3 3 2 3" xfId="6507" xr:uid="{9D7F9F6C-6A85-44C2-862E-E52F0F1ED98A}"/>
    <cellStyle name="Nota 2 6 2 3 3 2 4" xfId="8067" xr:uid="{E1D185C3-71BF-4980-89B1-DEB499B23FE5}"/>
    <cellStyle name="Nota 2 6 2 3 3 3" xfId="2623" xr:uid="{84E867C0-C029-4A24-A4DA-046B55306A0D}"/>
    <cellStyle name="Nota 2 6 2 3 3 3 2" xfId="4937" xr:uid="{ABEC93A2-37C7-4782-87C9-627C86C4E3C0}"/>
    <cellStyle name="Nota 2 6 2 3 3 3 3" xfId="6931" xr:uid="{38F70108-E2F9-4807-9370-3B4574CFAC9B}"/>
    <cellStyle name="Nota 2 6 2 3 3 3 4" xfId="8347" xr:uid="{05A8C61E-FBB1-4EC4-A0A6-58EF2F8DEF97}"/>
    <cellStyle name="Nota 2 6 2 3 3 4" xfId="2998" xr:uid="{10BAAB0F-16E8-41AB-B92E-64F74320816F}"/>
    <cellStyle name="Nota 2 6 2 3 3 4 2" xfId="5312" xr:uid="{F1815A2D-A2EA-4A44-B00F-4A46ACDB7A14}"/>
    <cellStyle name="Nota 2 6 2 3 3 4 3" xfId="7306" xr:uid="{8FA8881C-077B-4A2A-83F0-FA70F5453DEB}"/>
    <cellStyle name="Nota 2 6 2 3 3 4 4" xfId="8575" xr:uid="{EE5D57B4-57FC-4ECF-B5B0-FE78BB51D078}"/>
    <cellStyle name="Nota 2 6 2 3 3 5" xfId="3187" xr:uid="{0E385518-CFF1-4E8A-B4A1-E9ACAAB4DCC3}"/>
    <cellStyle name="Nota 2 6 2 3 3 5 2" xfId="5501" xr:uid="{1FF1BC5E-E72A-48A7-B926-E598CA653A03}"/>
    <cellStyle name="Nota 2 6 2 3 3 5 3" xfId="7495" xr:uid="{07281689-33C0-4CD1-B6E6-964EFFA21403}"/>
    <cellStyle name="Nota 2 6 2 3 3 5 4" xfId="8739" xr:uid="{8F3D0C4E-A3F3-4A7F-A624-019A2394B376}"/>
    <cellStyle name="Nota 2 6 2 3 3 6" xfId="1561" xr:uid="{3228DF1D-3298-4B9C-BD2C-5A8CE1994AE8}"/>
    <cellStyle name="Nota 2 6 2 3 3 7" xfId="3877" xr:uid="{1F778DBE-A6A3-421B-BA64-8076F40AE08D}"/>
    <cellStyle name="Nota 2 6 2 3 3 8" xfId="5944" xr:uid="{50CCED2E-59B7-41AA-AE95-DB68B8C70983}"/>
    <cellStyle name="Nota 2 6 2 3 3 9" xfId="7696" xr:uid="{7D95CAC7-F497-457F-B6FD-68BE76CA0864}"/>
    <cellStyle name="Nota 2 6 2 3 4" xfId="521" xr:uid="{74D48390-5258-47C1-91B7-E823FF897AB8}"/>
    <cellStyle name="Nota 2 6 2 3 4 2" xfId="1980" xr:uid="{CB68870C-79AE-4061-AC8D-C4EED1EAEF4D}"/>
    <cellStyle name="Nota 2 6 2 3 4 2 2" xfId="4294" xr:uid="{1697362E-4639-4B74-9A9C-6AD74AFF4821}"/>
    <cellStyle name="Nota 2 6 2 3 4 2 3" xfId="6335" xr:uid="{578C5F28-8D6B-4C49-AE2E-AACCB2E5CF8D}"/>
    <cellStyle name="Nota 2 6 2 3 4 2 4" xfId="7943" xr:uid="{B269877A-B71B-44B6-B627-15E0BEE42F6F}"/>
    <cellStyle name="Nota 2 6 2 3 4 3" xfId="2431" xr:uid="{86A501B7-360B-478E-91FF-7618F9DE051F}"/>
    <cellStyle name="Nota 2 6 2 3 4 3 2" xfId="4745" xr:uid="{3514097C-E475-4AF4-B053-A0AF31DE5F72}"/>
    <cellStyle name="Nota 2 6 2 3 4 3 3" xfId="6755" xr:uid="{E0992140-0A5A-497C-9877-A290CFD2AEFC}"/>
    <cellStyle name="Nota 2 6 2 3 4 3 4" xfId="8222" xr:uid="{9F7B0FA7-35C4-4255-A4A3-22875C55A8EB}"/>
    <cellStyle name="Nota 2 6 2 3 4 4" xfId="2836" xr:uid="{D01FBDDB-EC76-47EC-B82C-A69CCA68F7BF}"/>
    <cellStyle name="Nota 2 6 2 3 4 4 2" xfId="5150" xr:uid="{7C598288-8288-486A-A5C9-A6FF5BE29593}"/>
    <cellStyle name="Nota 2 6 2 3 4 4 3" xfId="7144" xr:uid="{D9C5FBE3-D48D-4684-88CB-DBE937834120}"/>
    <cellStyle name="Nota 2 6 2 3 4 4 4" xfId="8480" xr:uid="{348F986B-BCD3-4DA3-8BF1-60A1A15F4622}"/>
    <cellStyle name="Nota 2 6 2 3 4 5" xfId="3095" xr:uid="{C0F74B8B-358F-4044-82FB-A1D457E98870}"/>
    <cellStyle name="Nota 2 6 2 3 4 5 2" xfId="5409" xr:uid="{4E2A82CB-7B1B-4303-9272-F0BABD69863E}"/>
    <cellStyle name="Nota 2 6 2 3 4 5 3" xfId="7403" xr:uid="{A259DF27-4401-4CA5-A712-AE1855496DBB}"/>
    <cellStyle name="Nota 2 6 2 3 4 5 4" xfId="8647" xr:uid="{BB541BFD-9726-457D-9E80-189E711D0F9C}"/>
    <cellStyle name="Nota 2 6 2 3 4 6" xfId="1369" xr:uid="{2B64C22D-DBEF-475B-A473-757122ACC75A}"/>
    <cellStyle name="Nota 2 6 2 3 4 7" xfId="3685" xr:uid="{C08D3B19-41CE-45ED-8B5C-E1FF431929DC}"/>
    <cellStyle name="Nota 2 6 2 3 4 8" xfId="5775" xr:uid="{1C40747D-FB1A-4C72-AA45-E35C87963B1E}"/>
    <cellStyle name="Nota 2 6 2 3 4 9" xfId="7572" xr:uid="{480F20B0-A4A6-4284-A1A8-D3CA022B45D1}"/>
    <cellStyle name="Nota 2 6 2 3 5" xfId="1756" xr:uid="{B11517CF-7855-4633-B49D-08402BCD1E73}"/>
    <cellStyle name="Nota 2 6 2 3 5 2" xfId="4070" xr:uid="{9141BB28-D750-4C2E-B3D1-7C0C42743CA1}"/>
    <cellStyle name="Nota 2 6 2 3 5 3" xfId="6120" xr:uid="{09932C24-BB1E-41A1-80DE-975C25D2836B}"/>
    <cellStyle name="Nota 2 6 2 3 5 4" xfId="7809" xr:uid="{7D01D0FA-7704-46FA-A864-2D728718A17E}"/>
    <cellStyle name="Nota 2 6 2 3 6" xfId="1624" xr:uid="{418C64EC-41FE-438D-A4A6-47842DC2B925}"/>
    <cellStyle name="Nota 2 6 2 3 6 2" xfId="3938" xr:uid="{35CE51E0-4B0F-4199-ADEE-B7B5FDA2721D}"/>
    <cellStyle name="Nota 2 6 2 3 6 3" xfId="6000" xr:uid="{466E4F3B-C00A-4578-8D91-51F33A17782F}"/>
    <cellStyle name="Nota 2 6 2 3 6 4" xfId="7723" xr:uid="{85A024AF-4C15-4775-91AE-70B88EF1C26A}"/>
    <cellStyle name="Nota 2 6 2 3 7" xfId="1791" xr:uid="{ACF3214B-5197-47F1-AA4A-9D48AF4300AA}"/>
    <cellStyle name="Nota 2 6 2 3 7 2" xfId="4105" xr:uid="{60410B4E-EE26-4EFF-8694-921FA276047D}"/>
    <cellStyle name="Nota 2 6 2 3 7 3" xfId="6154" xr:uid="{439725A8-736D-4985-863D-9B957BD81B83}"/>
    <cellStyle name="Nota 2 6 2 3 7 4" xfId="7827" xr:uid="{B75E3327-0666-41CD-808D-47A28F85708C}"/>
    <cellStyle name="Nota 2 6 2 3 8" xfId="2672" xr:uid="{7E072AB8-E7CA-4C7D-9C7D-0EDF194255B5}"/>
    <cellStyle name="Nota 2 6 2 3 8 2" xfId="4986" xr:uid="{66A3886B-FD9B-4AA8-AEAB-1617094E3A4D}"/>
    <cellStyle name="Nota 2 6 2 3 8 3" xfId="6980" xr:uid="{99034A5D-9B02-4FA9-9921-E0933519F1A8}"/>
    <cellStyle name="Nota 2 6 2 3 8 4" xfId="8371" xr:uid="{D44367BD-693B-47DE-9E77-726CB0A6587B}"/>
    <cellStyle name="Nota 2 6 2 3 9" xfId="1105" xr:uid="{63F9D9FC-F06D-4465-BC03-3B74273F35B6}"/>
    <cellStyle name="Nota 2 6 2 4" xfId="429" xr:uid="{C8BE0016-C8C1-476B-B296-F97051FB149D}"/>
    <cellStyle name="Nota 2 6 2 4 2" xfId="1903" xr:uid="{143C5F83-CB03-4D05-A79A-67A9C89E36AE}"/>
    <cellStyle name="Nota 2 6 2 4 2 2" xfId="4217" xr:uid="{1E2628DD-2F97-4979-9306-E04038AB73A0}"/>
    <cellStyle name="Nota 2 6 2 4 2 3" xfId="6262" xr:uid="{0C55208F-DE54-4159-8F6F-E466917C1BE0}"/>
    <cellStyle name="Nota 2 6 2 4 2 4" xfId="7894" xr:uid="{476B8216-F1B5-48C5-B740-8B6FF7AE7539}"/>
    <cellStyle name="Nota 2 6 2 4 3" xfId="2360" xr:uid="{15939AC9-3D2A-45CB-B53C-8EA9990C00F3}"/>
    <cellStyle name="Nota 2 6 2 4 3 2" xfId="4674" xr:uid="{1B5416D8-0357-43E9-AB85-5616D20BEF2E}"/>
    <cellStyle name="Nota 2 6 2 4 3 3" xfId="6687" xr:uid="{190A4D2F-F229-4442-B343-8F70A75EECC3}"/>
    <cellStyle name="Nota 2 6 2 4 3 4" xfId="8176" xr:uid="{1C8FF296-E258-4010-8DF3-3DE621E4F871}"/>
    <cellStyle name="Nota 2 6 2 4 4" xfId="2772" xr:uid="{38E155E7-B43C-4359-86DE-E491D0013167}"/>
    <cellStyle name="Nota 2 6 2 4 4 2" xfId="5086" xr:uid="{F761B473-9473-47B8-9360-DA374FAA4580}"/>
    <cellStyle name="Nota 2 6 2 4 4 3" xfId="7080" xr:uid="{D23224CC-0052-4338-8800-E34C12DE8164}"/>
    <cellStyle name="Nota 2 6 2 4 4 4" xfId="8441" xr:uid="{207F28B9-DF80-4258-9517-B873FBD60D76}"/>
    <cellStyle name="Nota 2 6 2 4 5" xfId="3066" xr:uid="{7A47F809-F5A4-473B-9305-7C86B2E6A55F}"/>
    <cellStyle name="Nota 2 6 2 4 5 2" xfId="5380" xr:uid="{9C058CDE-6960-4F45-BF30-4B443099C20D}"/>
    <cellStyle name="Nota 2 6 2 4 5 3" xfId="7374" xr:uid="{4DAB3241-E612-401C-A3EE-F7F66DA61BA3}"/>
    <cellStyle name="Nota 2 6 2 4 5 4" xfId="8618" xr:uid="{6C349601-71E4-4382-A44F-ED12CDFB26AC}"/>
    <cellStyle name="Nota 2 6 2 4 6" xfId="1277" xr:uid="{9158B9E4-BAA5-4A20-8702-E6530F7523E9}"/>
    <cellStyle name="Nota 2 6 2 4 7" xfId="3605" xr:uid="{01FD81AE-605E-44C0-AFB7-CD359B0F00C3}"/>
    <cellStyle name="Nota 2 6 2 4 8" xfId="5707" xr:uid="{57151D8E-D6CB-40CA-8063-D7060C1FBF57}"/>
    <cellStyle name="Nota 2 6 2 4 9" xfId="7536" xr:uid="{5456E7C1-375B-44A3-8C10-F216C743C05B}"/>
    <cellStyle name="Nota 2 6 2 5" xfId="569" xr:uid="{E99DD590-58DA-4E0B-AFC7-43C5215BCB9F}"/>
    <cellStyle name="Nota 2 6 2 5 2" xfId="2027" xr:uid="{EBE53F72-BF43-4E71-AB5D-3C59DBBB682F}"/>
    <cellStyle name="Nota 2 6 2 5 2 2" xfId="4341" xr:uid="{BA3276EB-BD44-424E-A03E-241A8A9CC4D2}"/>
    <cellStyle name="Nota 2 6 2 5 2 3" xfId="6382" xr:uid="{46C00959-0468-4002-A990-42D5844CE859}"/>
    <cellStyle name="Nota 2 6 2 5 2 4" xfId="7959" xr:uid="{FB7725E6-F788-4CFE-9A39-BEF6D3199E38}"/>
    <cellStyle name="Nota 2 6 2 5 3" xfId="2479" xr:uid="{AED01C7F-FEEF-46C2-8E88-C86B48B7636D}"/>
    <cellStyle name="Nota 2 6 2 5 3 2" xfId="4793" xr:uid="{1DE812A1-71A0-4428-8B63-9D84987D5DAE}"/>
    <cellStyle name="Nota 2 6 2 5 3 3" xfId="6803" xr:uid="{40778C81-7AD4-4AE5-B7E8-E9E1AB5DA585}"/>
    <cellStyle name="Nota 2 6 2 5 3 4" xfId="8239" xr:uid="{6E4EDC4F-D959-4095-BDDC-D5E6563AA7D9}"/>
    <cellStyle name="Nota 2 6 2 5 4" xfId="2884" xr:uid="{4374F812-2BEC-4EA4-8E4C-5B00018B4F2F}"/>
    <cellStyle name="Nota 2 6 2 5 4 2" xfId="5198" xr:uid="{EB76BB70-E841-49FB-8816-01168A5EF86E}"/>
    <cellStyle name="Nota 2 6 2 5 4 3" xfId="7192" xr:uid="{A8B59C9D-71FB-4BAA-A5E2-E436C6EDD7C6}"/>
    <cellStyle name="Nota 2 6 2 5 4 4" xfId="8497" xr:uid="{C32FB180-7F1A-49BF-BC31-880ADD6D1C3A}"/>
    <cellStyle name="Nota 2 6 2 5 5" xfId="3111" xr:uid="{0831706E-99A2-48A2-9C73-A9E547FD0A15}"/>
    <cellStyle name="Nota 2 6 2 5 5 2" xfId="5425" xr:uid="{CAA63F90-871F-486C-88E2-2741EC654A67}"/>
    <cellStyle name="Nota 2 6 2 5 5 3" xfId="7419" xr:uid="{FDBE89AF-B739-47C3-B709-625F4DF0C812}"/>
    <cellStyle name="Nota 2 6 2 5 5 4" xfId="8663" xr:uid="{A11C94AA-0A0D-47FA-8355-DF6D74BB5A74}"/>
    <cellStyle name="Nota 2 6 2 5 6" xfId="1417" xr:uid="{FF3C83E9-1C91-4806-8213-85EA58FABD66}"/>
    <cellStyle name="Nota 2 6 2 5 7" xfId="3733" xr:uid="{BD72B20D-513A-4AB7-AC4F-48DCCD7CBE46}"/>
    <cellStyle name="Nota 2 6 2 5 8" xfId="5823" xr:uid="{AF0E2F10-6D87-4E7C-915E-57247334DACD}"/>
    <cellStyle name="Nota 2 6 2 5 9" xfId="7588" xr:uid="{F75DA182-8877-4312-B1C0-CD25E7FE8552}"/>
    <cellStyle name="Nota 2 6 2 6" xfId="343" xr:uid="{08516D5D-7B36-4135-9144-D211BC755053}"/>
    <cellStyle name="Nota 2 6 2 6 2" xfId="1830" xr:uid="{D75E2527-429A-45A7-B05D-AEC9BCE334CC}"/>
    <cellStyle name="Nota 2 6 2 6 2 2" xfId="4144" xr:uid="{59D3018D-2FC5-4001-A1D3-BE7EF25DA925}"/>
    <cellStyle name="Nota 2 6 2 6 2 3" xfId="6193" xr:uid="{A876D99D-E885-44B8-BBF9-754A805CD594}"/>
    <cellStyle name="Nota 2 6 2 6 2 4" xfId="7849" xr:uid="{9ED249D0-823B-41F6-BAB6-AA23CB4F5BEE}"/>
    <cellStyle name="Nota 2 6 2 6 3" xfId="2285" xr:uid="{1B3C503B-C65F-4585-933C-F98495BFCA53}"/>
    <cellStyle name="Nota 2 6 2 6 3 2" xfId="4599" xr:uid="{4665779F-556B-4A12-936A-E63EF9C71CD7}"/>
    <cellStyle name="Nota 2 6 2 6 3 3" xfId="6621" xr:uid="{D9D13D95-6876-47CA-B56A-1807C80C0EBD}"/>
    <cellStyle name="Nota 2 6 2 6 3 4" xfId="8131" xr:uid="{D179AA87-EE5B-49C8-B3DC-CBE3C1CF2415}"/>
    <cellStyle name="Nota 2 6 2 6 4" xfId="2715" xr:uid="{8B853A14-01CC-4A7C-B88B-8B606DA18B0A}"/>
    <cellStyle name="Nota 2 6 2 6 4 2" xfId="5029" xr:uid="{0654FF67-2D0C-4795-84E5-A5E0D2C242A8}"/>
    <cellStyle name="Nota 2 6 2 6 4 3" xfId="7023" xr:uid="{FE8E721C-035A-4B35-B3FE-F466F291384A}"/>
    <cellStyle name="Nota 2 6 2 6 4 4" xfId="8411" xr:uid="{71B61AA4-C97B-41C2-9E1D-C258CCC88976}"/>
    <cellStyle name="Nota 2 6 2 6 5" xfId="2372" xr:uid="{1B281607-5DA5-4C0A-AC94-8A9E86C5BBB7}"/>
    <cellStyle name="Nota 2 6 2 6 5 2" xfId="4686" xr:uid="{78692405-43B4-4629-9105-BB00110A09C7}"/>
    <cellStyle name="Nota 2 6 2 6 5 3" xfId="6699" xr:uid="{ED7BCB17-FF08-4639-87C6-477A4122D3D3}"/>
    <cellStyle name="Nota 2 6 2 6 5 4" xfId="8182" xr:uid="{E2D6C1FC-6B7F-440B-A459-D934DB6F70A0}"/>
    <cellStyle name="Nota 2 6 2 6 6" xfId="1191" xr:uid="{00276736-69A7-494C-A812-A8F60895903F}"/>
    <cellStyle name="Nota 2 6 2 6 7" xfId="3529" xr:uid="{042C0C98-E7AF-4A8E-A570-581A9865571C}"/>
    <cellStyle name="Nota 2 6 2 6 8" xfId="5649" xr:uid="{12B20410-EC0F-488C-BAA8-751A53A40C40}"/>
    <cellStyle name="Nota 2 6 2 6 9" xfId="5993" xr:uid="{E1EE1CA5-3DC2-43CE-ACB1-D1BAF390E7AA}"/>
    <cellStyle name="Nota 2 6 2 7" xfId="967" xr:uid="{9A874A19-795E-4023-85F7-0B2FF3FB1063}"/>
    <cellStyle name="Nota 2 6 2 7 2" xfId="3345" xr:uid="{5E94F56D-58A8-4FDE-8C8C-3A1E24890003}"/>
    <cellStyle name="Nota 2 6 2 7 3" xfId="834" xr:uid="{09AED670-396C-404B-A779-2FB3B9892496}"/>
    <cellStyle name="Nota 2 6 2 7 4" xfId="6906" xr:uid="{5FC3BA32-9221-4CE1-A9BC-4A4E4E33CA02}"/>
    <cellStyle name="Nota 2 6 2 8" xfId="1655" xr:uid="{E7B2D393-7213-4F01-9179-14435506D7E4}"/>
    <cellStyle name="Nota 2 6 2 8 2" xfId="3969" xr:uid="{D827CC53-6AB0-4C4D-97C7-27A2D78971B2}"/>
    <cellStyle name="Nota 2 6 2 8 3" xfId="6026" xr:uid="{CE74742E-7145-40C8-9DC9-B7E436AF2E21}"/>
    <cellStyle name="Nota 2 6 2 8 4" xfId="7748" xr:uid="{F9F3031E-A6CB-4ED7-B633-C6F5F004C197}"/>
    <cellStyle name="Nota 2 6 2 9" xfId="1760" xr:uid="{3F935B55-4186-44C8-9EEF-CA6D87200E9B}"/>
    <cellStyle name="Nota 2 6 2 9 2" xfId="4074" xr:uid="{CF5913E6-0AFA-4F04-BEA4-08E26D89030C}"/>
    <cellStyle name="Nota 2 6 2 9 3" xfId="6124" xr:uid="{B10AB84D-D53C-44A8-8A88-8DB33B32802F}"/>
    <cellStyle name="Nota 2 6 2 9 4" xfId="7812" xr:uid="{2678C95C-B63B-433B-B264-22181E44633C}"/>
    <cellStyle name="Nota 2 6 3" xfId="155" xr:uid="{599E69BC-8760-45FC-898B-746F54E459BD}"/>
    <cellStyle name="Nota 2 6 3 2" xfId="292" xr:uid="{593FE4F6-8A34-4E3A-9103-51391C94AC96}"/>
    <cellStyle name="Nota 2 6 3 2 10" xfId="5609" xr:uid="{D88984C3-727A-4D5E-A21A-678D4921D1F4}"/>
    <cellStyle name="Nota 2 6 3 2 11" xfId="5992" xr:uid="{86E1D4D7-7D9A-4896-8247-380255F12C49}"/>
    <cellStyle name="Nota 2 6 3 2 2" xfId="660" xr:uid="{B55F906B-0D55-4033-ADC7-3D2E3AB2C1E1}"/>
    <cellStyle name="Nota 2 6 3 2 2 2" xfId="2118" xr:uid="{BEE3AB37-4D6F-4476-B807-E9113063F240}"/>
    <cellStyle name="Nota 2 6 3 2 2 2 2" xfId="4432" xr:uid="{0C9F82A6-295E-47A1-B2EC-9EE95B18CFC6}"/>
    <cellStyle name="Nota 2 6 3 2 2 2 3" xfId="6460" xr:uid="{EA7D6F76-FD60-432E-955B-A9CDA7ECA2D5}"/>
    <cellStyle name="Nota 2 6 3 2 2 2 4" xfId="8027" xr:uid="{EA11584D-78C1-4AD8-A10B-C228E59DAB48}"/>
    <cellStyle name="Nota 2 6 3 2 2 3" xfId="2570" xr:uid="{57211FC5-B0BE-4FA7-8B4D-B16C3C4C9A9A}"/>
    <cellStyle name="Nota 2 6 3 2 2 3 2" xfId="4884" xr:uid="{FEB2C689-2B1A-47B2-AA2B-E1521EAE4D9D}"/>
    <cellStyle name="Nota 2 6 3 2 2 3 3" xfId="6882" xr:uid="{DB6C3324-29D2-4177-ACB0-A1E782D79644}"/>
    <cellStyle name="Nota 2 6 3 2 2 3 4" xfId="8307" xr:uid="{6AE481D9-B0E6-4399-9A80-70F9909CBB41}"/>
    <cellStyle name="Nota 2 6 3 2 2 4" xfId="2958" xr:uid="{50C24B2D-DA74-461B-9AC3-BB700BD574F6}"/>
    <cellStyle name="Nota 2 6 3 2 2 4 2" xfId="5272" xr:uid="{F9BBD6F3-8FD3-4B13-9F12-23B13323E818}"/>
    <cellStyle name="Nota 2 6 3 2 2 4 3" xfId="7266" xr:uid="{48594907-CC3C-4F88-9152-302B538CD02D}"/>
    <cellStyle name="Nota 2 6 3 2 2 4 4" xfId="8548" xr:uid="{C4CB0401-71D9-488D-9BE8-087E28BBA06F}"/>
    <cellStyle name="Nota 2 6 3 2 2 5" xfId="3160" xr:uid="{986DF242-F333-41B4-AD01-10B299F31487}"/>
    <cellStyle name="Nota 2 6 3 2 2 5 2" xfId="5474" xr:uid="{9B905478-2E5E-43E6-9364-02288C38DD72}"/>
    <cellStyle name="Nota 2 6 3 2 2 5 3" xfId="7468" xr:uid="{7AB6E80E-B64A-4074-BB71-9C17404C86DE}"/>
    <cellStyle name="Nota 2 6 3 2 2 5 4" xfId="8712" xr:uid="{093A58A5-DDC4-47A4-B348-F8D00C1903CC}"/>
    <cellStyle name="Nota 2 6 3 2 2 6" xfId="1508" xr:uid="{8F01194D-8F97-4C03-B8BC-6219B1422074}"/>
    <cellStyle name="Nota 2 6 3 2 2 7" xfId="3824" xr:uid="{D0CF3EC4-1FA9-4335-B325-85D799855A44}"/>
    <cellStyle name="Nota 2 6 3 2 2 8" xfId="5900" xr:uid="{DF6B1A40-4F14-48C6-8BC5-C5990ADAEBB3}"/>
    <cellStyle name="Nota 2 6 3 2 2 9" xfId="7656" xr:uid="{1BD42D39-9ED0-46F4-ACC1-1AD998DFD0C4}"/>
    <cellStyle name="Nota 2 6 3 2 3" xfId="735" xr:uid="{E402DC11-DFB4-4F6C-AB6C-9B193BC2C626}"/>
    <cellStyle name="Nota 2 6 3 2 3 2" xfId="2193" xr:uid="{B98F9671-D4D6-4ADE-BAFA-D88DD7A0A581}"/>
    <cellStyle name="Nota 2 6 3 2 3 2 2" xfId="4507" xr:uid="{8958DEF5-0099-49CB-AB7F-F2EEE7E1DD43}"/>
    <cellStyle name="Nota 2 6 3 2 3 2 3" xfId="6529" xr:uid="{370A9165-C934-4007-BBE2-259DEA2DDAFE}"/>
    <cellStyle name="Nota 2 6 3 2 3 2 4" xfId="8077" xr:uid="{5E06CD13-3A9C-4399-AC4E-75526B29C801}"/>
    <cellStyle name="Nota 2 6 3 2 3 3" xfId="2645" xr:uid="{2F44BC54-9B8E-465F-98E7-0A6D52F30662}"/>
    <cellStyle name="Nota 2 6 3 2 3 3 2" xfId="4959" xr:uid="{F8E60D3C-2094-4801-B79B-63B3A7B8379B}"/>
    <cellStyle name="Nota 2 6 3 2 3 3 3" xfId="6953" xr:uid="{D47873E8-E1DA-4A8E-A2C2-2BBBA07D17B5}"/>
    <cellStyle name="Nota 2 6 3 2 3 3 4" xfId="8357" xr:uid="{D383112A-11A1-414F-9CAF-CFBBCA6A65A1}"/>
    <cellStyle name="Nota 2 6 3 2 3 4" xfId="3020" xr:uid="{DB456C5A-E661-46A0-8B52-A8EEFAF962CC}"/>
    <cellStyle name="Nota 2 6 3 2 3 4 2" xfId="5334" xr:uid="{458139BC-D68F-4D66-9D27-9467A134018D}"/>
    <cellStyle name="Nota 2 6 3 2 3 4 3" xfId="7328" xr:uid="{2024093F-3996-49BF-B0CE-92FE4961FF36}"/>
    <cellStyle name="Nota 2 6 3 2 3 4 4" xfId="8585" xr:uid="{C8A0F250-E46B-42BF-B0CB-D8257055A263}"/>
    <cellStyle name="Nota 2 6 3 2 3 5" xfId="3197" xr:uid="{F0CFB3A9-0B06-422E-B49C-FC3ADCD41A62}"/>
    <cellStyle name="Nota 2 6 3 2 3 5 2" xfId="5511" xr:uid="{8D3F1787-DB3C-4FBC-83C9-135AC2725266}"/>
    <cellStyle name="Nota 2 6 3 2 3 5 3" xfId="7505" xr:uid="{30082869-3336-4ECE-AB9F-9F6B4B45900E}"/>
    <cellStyle name="Nota 2 6 3 2 3 5 4" xfId="8749" xr:uid="{E23384EB-DEDA-4D24-ADD4-0D9660A84FDD}"/>
    <cellStyle name="Nota 2 6 3 2 3 6" xfId="1583" xr:uid="{7336FAD6-E335-4F84-889B-03EA4BDC0D87}"/>
    <cellStyle name="Nota 2 6 3 2 3 7" xfId="3899" xr:uid="{BB0CAC2C-EF09-4B7F-9D62-DDC82FD4AB81}"/>
    <cellStyle name="Nota 2 6 3 2 3 8" xfId="5966" xr:uid="{C5424E94-7213-4C60-8124-29D2CDA32F86}"/>
    <cellStyle name="Nota 2 6 3 2 3 9" xfId="7706" xr:uid="{237E8374-451F-4082-9231-F6C7A44C995E}"/>
    <cellStyle name="Nota 2 6 3 2 4" xfId="1785" xr:uid="{385217C2-876E-4E38-BB4F-EE448BA0677D}"/>
    <cellStyle name="Nota 2 6 3 2 4 2" xfId="4099" xr:uid="{3D1C89B3-CA70-4649-AD2A-EDAEDC9B948F}"/>
    <cellStyle name="Nota 2 6 3 2 4 3" xfId="6148" xr:uid="{6CAAB50C-5AA2-4C30-83BF-789A246C8DD7}"/>
    <cellStyle name="Nota 2 6 3 2 4 4" xfId="7824" xr:uid="{0D6DF7C2-5A54-4E6B-82DA-E77E96BDFC39}"/>
    <cellStyle name="Nota 2 6 3 2 5" xfId="2245" xr:uid="{60D810EB-EC73-4877-A097-E08430AC469F}"/>
    <cellStyle name="Nota 2 6 3 2 5 2" xfId="4559" xr:uid="{D8C38141-8E0A-47F1-8F91-DE3C6A8E3112}"/>
    <cellStyle name="Nota 2 6 3 2 5 3" xfId="6581" xr:uid="{199191B6-718A-464C-BDF9-6D647B060B88}"/>
    <cellStyle name="Nota 2 6 3 2 5 4" xfId="8107" xr:uid="{E87FBDD6-59D2-4B46-85EF-060B0D9604D7}"/>
    <cellStyle name="Nota 2 6 3 2 6" xfId="2685" xr:uid="{AE786A6D-82BC-47B3-957F-712C7705FAE1}"/>
    <cellStyle name="Nota 2 6 3 2 6 2" xfId="4999" xr:uid="{5941560D-C62A-4C00-9BEE-FF8F72EFF381}"/>
    <cellStyle name="Nota 2 6 3 2 6 3" xfId="6993" xr:uid="{45CD56E4-A7A1-4C3D-8E1F-237E641B5029}"/>
    <cellStyle name="Nota 2 6 3 2 6 4" xfId="8384" xr:uid="{E3FCF8A6-BE35-43BD-9090-3F54EB324981}"/>
    <cellStyle name="Nota 2 6 3 2 7" xfId="2864" xr:uid="{2E3E3A03-5DF4-41BF-81D8-BA10AB09B33E}"/>
    <cellStyle name="Nota 2 6 3 2 7 2" xfId="5178" xr:uid="{D0D2724D-DB24-4E52-9129-99D235127748}"/>
    <cellStyle name="Nota 2 6 3 2 7 3" xfId="7172" xr:uid="{25E0B281-7AA3-4DC5-A8F7-E5EF1CE12EF2}"/>
    <cellStyle name="Nota 2 6 3 2 7 4" xfId="8483" xr:uid="{0AA74FC9-05A4-48CC-825F-EC76B0FB1DBA}"/>
    <cellStyle name="Nota 2 6 3 2 8" xfId="1140" xr:uid="{D1F9A370-9891-4854-99F5-A8AF6B5189E6}"/>
    <cellStyle name="Nota 2 6 3 2 9" xfId="3490" xr:uid="{F64FE6F9-8328-4563-8CC5-988FE264CEA1}"/>
    <cellStyle name="Nota 2 6 3 3" xfId="466" xr:uid="{35C14DF6-31B9-470F-A157-0C19A8C228D4}"/>
    <cellStyle name="Nota 2 6 3 3 2" xfId="1933" xr:uid="{442F0640-896F-408E-884B-C7A72B00CFED}"/>
    <cellStyle name="Nota 2 6 3 3 2 2" xfId="4247" xr:uid="{A88A4622-9164-40DC-BF65-EF30E690726C}"/>
    <cellStyle name="Nota 2 6 3 3 2 3" xfId="6292" xr:uid="{248D87D5-1A1B-406F-9602-314B4C9DB448}"/>
    <cellStyle name="Nota 2 6 3 3 2 4" xfId="7911" xr:uid="{6FDE1524-FC05-468D-9E84-5F18D517F8A6}"/>
    <cellStyle name="Nota 2 6 3 3 3" xfId="2388" xr:uid="{002D1822-3634-48A4-8DB4-5F6097BC0C35}"/>
    <cellStyle name="Nota 2 6 3 3 3 2" xfId="4702" xr:uid="{B1F2FAF8-71F6-422E-94CE-3E713DC37B7C}"/>
    <cellStyle name="Nota 2 6 3 3 3 3" xfId="6715" xr:uid="{BD3F193F-7C87-419D-8619-963FDD575E01}"/>
    <cellStyle name="Nota 2 6 3 3 3 4" xfId="8192" xr:uid="{C2C2F50C-0A96-4CED-A1DF-6D35904F8CCE}"/>
    <cellStyle name="Nota 2 6 3 3 4" xfId="2799" xr:uid="{318A8735-69E0-42CD-B1B3-46311DCC386A}"/>
    <cellStyle name="Nota 2 6 3 3 4 2" xfId="5113" xr:uid="{F84B3DA9-85DE-4D6E-9045-0F3574FEB232}"/>
    <cellStyle name="Nota 2 6 3 3 4 3" xfId="7107" xr:uid="{411EC059-BB76-4100-A028-B5668A7021BA}"/>
    <cellStyle name="Nota 2 6 3 3 4 4" xfId="8456" xr:uid="{BD85A78B-D140-45D7-A89E-3F80E99172EC}"/>
    <cellStyle name="Nota 2 6 3 3 5" xfId="3078" xr:uid="{2B22E3B3-8600-4FE8-9B69-9CE15B56E0EE}"/>
    <cellStyle name="Nota 2 6 3 3 5 2" xfId="5392" xr:uid="{5659CE05-E8E3-45C0-93C0-704F315322DF}"/>
    <cellStyle name="Nota 2 6 3 3 5 3" xfId="7386" xr:uid="{06B7A28D-F211-4AE7-968C-6A6D061BA870}"/>
    <cellStyle name="Nota 2 6 3 3 5 4" xfId="8630" xr:uid="{CA13168F-046B-4677-8842-7C56FA551DAE}"/>
    <cellStyle name="Nota 2 6 3 3 6" xfId="1314" xr:uid="{FEBF51FF-46EA-4F3A-8744-FE7920310F7A}"/>
    <cellStyle name="Nota 2 6 3 3 7" xfId="3638" xr:uid="{5D028497-16B7-4276-8F6B-C85DCB0C5FB1}"/>
    <cellStyle name="Nota 2 6 3 3 8" xfId="5736" xr:uid="{00A50AE2-2836-4F49-88DA-F0EE0EEB26B6}"/>
    <cellStyle name="Nota 2 6 3 3 9" xfId="7548" xr:uid="{71A8BFDA-A958-4714-B41F-5C497DA4D6D8}"/>
    <cellStyle name="Nota 2 6 3 4" xfId="1818" xr:uid="{E86ED0BC-C633-4480-A7A7-40B484F54114}"/>
    <cellStyle name="Nota 2 6 3 4 2" xfId="4132" xr:uid="{43710913-EC72-44ED-BFCE-4E1B0343B7B4}"/>
    <cellStyle name="Nota 2 6 3 4 3" xfId="6181" xr:uid="{08D7DF77-B134-4D42-AC6B-DC933D6AF318}"/>
    <cellStyle name="Nota 2 6 3 4 4" xfId="7844" xr:uid="{D8DB7DFF-F8E2-4ACA-8F19-6CF4431C4B01}"/>
    <cellStyle name="Nota 2 6 3 5" xfId="1003" xr:uid="{9B9D3538-5FCA-4042-8B0B-33E634D4AAE2}"/>
    <cellStyle name="Nota 2 6 3 6" xfId="3374" xr:uid="{B0ED9B0E-B84A-425B-9166-0C3BF57D2E40}"/>
    <cellStyle name="Nota 2 6 3 7" xfId="769" xr:uid="{20E41F74-970A-4058-AEA5-D5A6F2743569}"/>
    <cellStyle name="Nota 2 6 3 8" xfId="3600" xr:uid="{03EA70A1-AD3E-4073-93B9-C091D49B82AD}"/>
    <cellStyle name="Nota 2 6 4" xfId="222" xr:uid="{1BB566BB-4D9B-4D44-A8DE-112D814E3C08}"/>
    <cellStyle name="Nota 2 6 4 10" xfId="5559" xr:uid="{49C80511-CE84-4636-92FE-861BECA2B356}"/>
    <cellStyle name="Nota 2 6 4 11" xfId="5762" xr:uid="{1ECF796C-584E-4A34-BBEB-42B41E695E3B}"/>
    <cellStyle name="Nota 2 6 4 2" xfId="615" xr:uid="{E67BAEDF-D9AA-432A-823F-01B2E130A4B0}"/>
    <cellStyle name="Nota 2 6 4 2 2" xfId="2073" xr:uid="{23AE2EC0-B344-4B13-9057-A8B059E6FEA3}"/>
    <cellStyle name="Nota 2 6 4 2 2 2" xfId="4387" xr:uid="{3B1499AA-4612-4F8A-8DA3-13758E2017CB}"/>
    <cellStyle name="Nota 2 6 4 2 2 3" xfId="6427" xr:uid="{5F94628A-99C2-4A53-8A82-CB2C732D4534}"/>
    <cellStyle name="Nota 2 6 4 2 2 4" xfId="7985" xr:uid="{62F3EB52-6AAC-40FB-8146-F33FE7FB4E3D}"/>
    <cellStyle name="Nota 2 6 4 2 3" xfId="2525" xr:uid="{57B51174-265C-4EED-89B7-DD933D894993}"/>
    <cellStyle name="Nota 2 6 4 2 3 2" xfId="4839" xr:uid="{20A3961E-59FA-4F79-843E-CDDEB344F4F0}"/>
    <cellStyle name="Nota 2 6 4 2 3 3" xfId="6848" xr:uid="{48C3B9FF-21EA-4E84-A640-987BB88F70E9}"/>
    <cellStyle name="Nota 2 6 4 2 3 4" xfId="8265" xr:uid="{3EFCF013-37EC-4175-83C8-507CEE3A6CD4}"/>
    <cellStyle name="Nota 2 6 4 2 4" xfId="2928" xr:uid="{BADB104F-B9B3-407C-AFB6-A8A9053DD12D}"/>
    <cellStyle name="Nota 2 6 4 2 4 2" xfId="5242" xr:uid="{B9B22336-29BD-4429-8B4F-E1A21D475C3F}"/>
    <cellStyle name="Nota 2 6 4 2 4 3" xfId="7236" xr:uid="{644CCCC2-3ED0-4040-A5B8-EF78584C49B0}"/>
    <cellStyle name="Nota 2 6 4 2 4 4" xfId="8521" xr:uid="{9C1FFB9F-3DB5-43B8-8931-68BEF463B3DA}"/>
    <cellStyle name="Nota 2 6 4 2 5" xfId="3135" xr:uid="{C53EA1E1-6940-478A-8785-F67D437DC257}"/>
    <cellStyle name="Nota 2 6 4 2 5 2" xfId="5449" xr:uid="{20696A96-EF20-408C-8876-73CA5ECBF0A5}"/>
    <cellStyle name="Nota 2 6 4 2 5 3" xfId="7443" xr:uid="{6EFBD31C-44E9-43F2-8EF0-713E3C2CA1C0}"/>
    <cellStyle name="Nota 2 6 4 2 5 4" xfId="8687" xr:uid="{3392F23B-1205-4DD9-B236-4B6A009B4A8F}"/>
    <cellStyle name="Nota 2 6 4 2 6" xfId="1463" xr:uid="{E2117D2A-ABB7-4395-9602-280107CD4F01}"/>
    <cellStyle name="Nota 2 6 4 2 7" xfId="3779" xr:uid="{F90B6CDF-8D9B-4D4D-8087-926A29C9E862}"/>
    <cellStyle name="Nota 2 6 4 2 8" xfId="5868" xr:uid="{74ACC087-1978-4EE7-B9AE-4AD9F6DFB2B5}"/>
    <cellStyle name="Nota 2 6 4 2 9" xfId="7614" xr:uid="{5CA49B5F-5E91-4658-B511-92C91734154D}"/>
    <cellStyle name="Nota 2 6 4 3" xfId="693" xr:uid="{7799A59F-D774-47A4-92C9-0C0DAF010F41}"/>
    <cellStyle name="Nota 2 6 4 3 2" xfId="2151" xr:uid="{A4D5C9CC-C547-4339-A822-E611E2582B99}"/>
    <cellStyle name="Nota 2 6 4 3 2 2" xfId="4465" xr:uid="{5887CF5C-142F-4D5B-BE01-A5C561FBFC4F}"/>
    <cellStyle name="Nota 2 6 4 3 2 3" xfId="6487" xr:uid="{9BD5CE43-01E5-4CF6-9093-85C0B7CCC64B}"/>
    <cellStyle name="Nota 2 6 4 3 2 4" xfId="8056" xr:uid="{E82A3D37-1B74-4286-9954-6EF34207C190}"/>
    <cellStyle name="Nota 2 6 4 3 3" xfId="2603" xr:uid="{05DDCC9E-11B2-45A7-9CF9-719DB8898D1A}"/>
    <cellStyle name="Nota 2 6 4 3 3 2" xfId="4917" xr:uid="{B19820C4-2AD5-4AB6-BC6A-B179C2E0A1F3}"/>
    <cellStyle name="Nota 2 6 4 3 3 3" xfId="6911" xr:uid="{ED2ECF14-D6D9-4162-93CC-0C379A050BC5}"/>
    <cellStyle name="Nota 2 6 4 3 3 4" xfId="8336" xr:uid="{8AA4DF48-9BA0-4493-BB0D-C78A1597796A}"/>
    <cellStyle name="Nota 2 6 4 3 4" xfId="2978" xr:uid="{6FF5D663-7028-49E8-8770-1F4252CA7BAD}"/>
    <cellStyle name="Nota 2 6 4 3 4 2" xfId="5292" xr:uid="{6B0876CC-E095-46B6-B348-0FCE0E5BB955}"/>
    <cellStyle name="Nota 2 6 4 3 4 3" xfId="7286" xr:uid="{89F79B96-0C6F-4F75-BCA7-E487D4E4466B}"/>
    <cellStyle name="Nota 2 6 4 3 4 4" xfId="8564" xr:uid="{D160A5F6-9F7E-42FA-A863-86E69F84A0DD}"/>
    <cellStyle name="Nota 2 6 4 3 5" xfId="3176" xr:uid="{C12F5C11-54B4-488E-839E-C5DB60D26526}"/>
    <cellStyle name="Nota 2 6 4 3 5 2" xfId="5490" xr:uid="{846F9A3F-3DCC-48DA-827A-0FC8B19BDBB2}"/>
    <cellStyle name="Nota 2 6 4 3 5 3" xfId="7484" xr:uid="{ABE70D3B-A452-43BC-8206-059CAE9AD5E5}"/>
    <cellStyle name="Nota 2 6 4 3 5 4" xfId="8728" xr:uid="{1F5F3229-2A5B-4D06-92B7-18BFD2B885D2}"/>
    <cellStyle name="Nota 2 6 4 3 6" xfId="1541" xr:uid="{2D8ECC46-A79D-49F5-9475-96BDD8CD1F07}"/>
    <cellStyle name="Nota 2 6 4 3 7" xfId="3857" xr:uid="{19B1C0F2-C302-45C4-B440-7085A85386FC}"/>
    <cellStyle name="Nota 2 6 4 3 8" xfId="5924" xr:uid="{9AC2F48E-378D-49F7-8476-13741D6615CE}"/>
    <cellStyle name="Nota 2 6 4 3 9" xfId="7685" xr:uid="{747036A3-2925-442D-8AEE-C270F792ADEE}"/>
    <cellStyle name="Nota 2 6 4 4" xfId="1728" xr:uid="{8855E024-C045-4854-A3D0-5F576FA60C41}"/>
    <cellStyle name="Nota 2 6 4 4 2" xfId="4042" xr:uid="{A6CC60C8-218A-4383-8116-77EA74D1B913}"/>
    <cellStyle name="Nota 2 6 4 4 3" xfId="6094" xr:uid="{9648E7BD-7788-4209-B771-37E2FF8E4E1B}"/>
    <cellStyle name="Nota 2 6 4 4 4" xfId="7790" xr:uid="{87B160AE-FABE-4C51-B09B-7B9E6E2A4AD0}"/>
    <cellStyle name="Nota 2 6 4 5" xfId="1793" xr:uid="{BBFEA19C-AD18-44FC-8EF6-485BA8911191}"/>
    <cellStyle name="Nota 2 6 4 5 2" xfId="4107" xr:uid="{435219AA-6CDD-4F05-B50A-4AF1F45CAFAE}"/>
    <cellStyle name="Nota 2 6 4 5 3" xfId="6156" xr:uid="{8AFB4DB1-3CE2-421F-B224-4131512BBF21}"/>
    <cellStyle name="Nota 2 6 4 5 4" xfId="7829" xr:uid="{9A10AF63-9561-480C-B140-1C067EBD9B5C}"/>
    <cellStyle name="Nota 2 6 4 6" xfId="2226" xr:uid="{0DF98910-B04C-46C7-B13A-4E1DD337A6FF}"/>
    <cellStyle name="Nota 2 6 4 6 2" xfId="4540" xr:uid="{B829804E-EF53-4393-95BE-91683C968F7E}"/>
    <cellStyle name="Nota 2 6 4 6 3" xfId="6562" xr:uid="{4874DEA1-5D01-40B8-B212-613A105A9E0E}"/>
    <cellStyle name="Nota 2 6 4 6 4" xfId="8095" xr:uid="{D71B4FC5-7727-4459-B386-3C46E2D3CF6A}"/>
    <cellStyle name="Nota 2 6 4 7" xfId="2689" xr:uid="{18B900A8-B88A-40DD-AADD-85C65D42E1BC}"/>
    <cellStyle name="Nota 2 6 4 7 2" xfId="5003" xr:uid="{E8731962-8316-4408-A279-7C64983B46BF}"/>
    <cellStyle name="Nota 2 6 4 7 3" xfId="6997" xr:uid="{502DCF13-CF7B-4E31-B9F9-D035E2E07582}"/>
    <cellStyle name="Nota 2 6 4 7 4" xfId="8388" xr:uid="{67E5A309-4E68-4F25-9C55-8639F914899C}"/>
    <cellStyle name="Nota 2 6 4 8" xfId="1070" xr:uid="{E600D570-76EB-42BC-A511-EC6F8FC15C00}"/>
    <cellStyle name="Nota 2 6 4 9" xfId="3428" xr:uid="{C09D5B0C-61DF-41C5-812B-C7EA41458CF7}"/>
    <cellStyle name="Nota 2 6 5" xfId="394" xr:uid="{5B205DD7-9087-45AC-BED6-D95BB2E0A8C2}"/>
    <cellStyle name="Nota 2 6 5 2" xfId="1875" xr:uid="{0A15E362-AFB2-4038-9BBB-42213417F708}"/>
    <cellStyle name="Nota 2 6 5 2 2" xfId="4189" xr:uid="{65098969-6826-4375-AFD3-D63DA7FD5031}"/>
    <cellStyle name="Nota 2 6 5 2 3" xfId="6236" xr:uid="{896C59CD-A094-4423-BC61-44D1AE54B7D1}"/>
    <cellStyle name="Nota 2 6 5 2 4" xfId="7873" xr:uid="{4C740594-F497-4354-ACDA-CC5FBEEFD25A}"/>
    <cellStyle name="Nota 2 6 5 3" xfId="2332" xr:uid="{308312B4-05B8-44AC-AD74-0EFCA356D5D5}"/>
    <cellStyle name="Nota 2 6 5 3 2" xfId="4646" xr:uid="{D0A88389-3A2F-4F9A-8703-00136CAD41D1}"/>
    <cellStyle name="Nota 2 6 5 3 3" xfId="6662" xr:uid="{5CF72148-2139-4153-A3DE-C05B2CF92C03}"/>
    <cellStyle name="Nota 2 6 5 3 4" xfId="8156" xr:uid="{766D79F1-B6AD-408D-BB79-50A54F5872B1}"/>
    <cellStyle name="Nota 2 6 5 4" xfId="2749" xr:uid="{24152B02-6EC0-494F-8FEA-79C7F769DD51}"/>
    <cellStyle name="Nota 2 6 5 4 2" xfId="5063" xr:uid="{0E54D0E0-9306-4886-A6CC-1433EE275760}"/>
    <cellStyle name="Nota 2 6 5 4 3" xfId="7057" xr:uid="{7BB75012-936B-49EA-9D17-7E7358B19C28}"/>
    <cellStyle name="Nota 2 6 5 4 4" xfId="8424" xr:uid="{1B0A4513-EC22-4770-B690-DA2FDEE0E106}"/>
    <cellStyle name="Nota 2 6 5 5" xfId="3055" xr:uid="{7FDCCA94-1E3E-4DBD-91A9-0D85FCB8A647}"/>
    <cellStyle name="Nota 2 6 5 5 2" xfId="5369" xr:uid="{6BACF3BB-22AC-4C37-8E38-962D04D5D893}"/>
    <cellStyle name="Nota 2 6 5 5 3" xfId="7363" xr:uid="{FBF64B93-D82F-4B8E-A5BC-F5E58AA3140E}"/>
    <cellStyle name="Nota 2 6 5 5 4" xfId="8607" xr:uid="{0556D907-2F74-44CC-B2D5-92EDFA5E17D2}"/>
    <cellStyle name="Nota 2 6 5 6" xfId="1242" xr:uid="{39EB86C2-344B-4A8B-B758-F52A886845F0}"/>
    <cellStyle name="Nota 2 6 5 7" xfId="3575" xr:uid="{B33B85AB-ADC7-4EAF-9C6A-8E898B0D855B}"/>
    <cellStyle name="Nota 2 6 5 8" xfId="5687" xr:uid="{BE7C725B-AFC0-4A90-A6E6-6F1298E5AD38}"/>
    <cellStyle name="Nota 2 6 5 9" xfId="7521" xr:uid="{56BFB698-8B03-4825-BB76-485D1667704B}"/>
    <cellStyle name="Nota 2 6 6" xfId="550" xr:uid="{DA77B22E-AD3C-4AFF-ADBB-0D6725752CBF}"/>
    <cellStyle name="Nota 2 6 6 2" xfId="2008" xr:uid="{26B32BDB-27FB-4EBF-8AC4-1DD5E2F4AE3C}"/>
    <cellStyle name="Nota 2 6 6 2 2" xfId="4322" xr:uid="{40EC3D9D-B3B5-405F-8F0D-29EAD563CA35}"/>
    <cellStyle name="Nota 2 6 6 2 3" xfId="6363" xr:uid="{2AD7AA1A-2709-4B2A-B048-3928A97F0458}"/>
    <cellStyle name="Nota 2 6 6 2 4" xfId="7946" xr:uid="{8D21A604-7964-49FD-8982-A70BD4F9AC01}"/>
    <cellStyle name="Nota 2 6 6 3" xfId="2460" xr:uid="{982FF268-0621-40FA-B54A-CAF7473B3730}"/>
    <cellStyle name="Nota 2 6 6 3 2" xfId="4774" xr:uid="{6309CA49-993F-4932-A13C-845AA991B41F}"/>
    <cellStyle name="Nota 2 6 6 3 3" xfId="6784" xr:uid="{F2B80B14-9A79-417B-A567-7DCD9DD1405B}"/>
    <cellStyle name="Nota 2 6 6 3 4" xfId="8226" xr:uid="{72F6788C-F569-4EBE-B458-484D7BFFF826}"/>
    <cellStyle name="Nota 2 6 6 4" xfId="2865" xr:uid="{1A619C27-FB90-4CAB-A45D-26F01DC5C10E}"/>
    <cellStyle name="Nota 2 6 6 4 2" xfId="5179" xr:uid="{616528A3-6E5D-48A6-A131-C3813AEFE4F0}"/>
    <cellStyle name="Nota 2 6 6 4 3" xfId="7173" xr:uid="{0B0EAC7D-BC83-47DF-850A-2B9F1E49FD64}"/>
    <cellStyle name="Nota 2 6 6 4 4" xfId="8484" xr:uid="{72A1ECBF-147E-434A-A662-541C58E9DF3C}"/>
    <cellStyle name="Nota 2 6 6 5" xfId="3098" xr:uid="{9C199696-91AA-4D17-B484-F8EC2D9EB68F}"/>
    <cellStyle name="Nota 2 6 6 5 2" xfId="5412" xr:uid="{662BEB15-324F-474E-8DCA-53EF108B71E1}"/>
    <cellStyle name="Nota 2 6 6 5 3" xfId="7406" xr:uid="{5EB03AF7-7BD1-4917-B567-CBE3E42667A1}"/>
    <cellStyle name="Nota 2 6 6 5 4" xfId="8650" xr:uid="{B9CA7D76-3D11-493A-9FE4-7938BBD60901}"/>
    <cellStyle name="Nota 2 6 6 6" xfId="1398" xr:uid="{B7A914B8-4C86-405C-AD2C-FFF5FF96F442}"/>
    <cellStyle name="Nota 2 6 6 7" xfId="3714" xr:uid="{C88C508A-DE28-42A3-82D1-7BD5FD9E1F83}"/>
    <cellStyle name="Nota 2 6 6 8" xfId="5804" xr:uid="{5091AEE0-535F-4562-ADCF-E2D1028BA1A4}"/>
    <cellStyle name="Nota 2 6 6 9" xfId="7575" xr:uid="{022CEBF6-3D8A-4521-9DEF-C06A5D41993A}"/>
    <cellStyle name="Nota 2 6 7" xfId="596" xr:uid="{D8445204-1BB5-4066-9553-742DBC5396B5}"/>
    <cellStyle name="Nota 2 6 7 2" xfId="2054" xr:uid="{153515D7-E0F6-473A-8986-B27A1CE4107E}"/>
    <cellStyle name="Nota 2 6 7 2 2" xfId="4368" xr:uid="{D39F768D-DF82-407C-A6BB-66BC2F34CC4C}"/>
    <cellStyle name="Nota 2 6 7 2 3" xfId="6409" xr:uid="{4528CC82-DFD4-4E67-B870-831F4A633422}"/>
    <cellStyle name="Nota 2 6 7 2 4" xfId="7972" xr:uid="{1F9F906B-EF6C-475C-8A52-8BD13FDD387A}"/>
    <cellStyle name="Nota 2 6 7 3" xfId="2506" xr:uid="{3725DC4B-B680-4ED1-851A-957B1B6CB1BB}"/>
    <cellStyle name="Nota 2 6 7 3 2" xfId="4820" xr:uid="{444E2A45-9E6C-4DEB-9A54-A9017C7E53E8}"/>
    <cellStyle name="Nota 2 6 7 3 3" xfId="6830" xr:uid="{8473ECE3-5F84-46BC-9F25-C8CE6C90A671}"/>
    <cellStyle name="Nota 2 6 7 3 4" xfId="8252" xr:uid="{B019C2EF-CE99-4D0B-BB43-2A34CBCB9525}"/>
    <cellStyle name="Nota 2 6 7 4" xfId="2911" xr:uid="{A8F66521-8383-4159-AF6C-D9FCF211227F}"/>
    <cellStyle name="Nota 2 6 7 4 2" xfId="5225" xr:uid="{02DB4EEE-248F-4726-919D-455EAA5F5A85}"/>
    <cellStyle name="Nota 2 6 7 4 3" xfId="7219" xr:uid="{69EFC93C-EFBA-4D5C-8774-0367050C3BCE}"/>
    <cellStyle name="Nota 2 6 7 4 4" xfId="8510" xr:uid="{E65B485D-8404-4605-A4F0-A64452FF628B}"/>
    <cellStyle name="Nota 2 6 7 5" xfId="3124" xr:uid="{36F1738A-5F64-478D-A720-EF8477B7DCAD}"/>
    <cellStyle name="Nota 2 6 7 5 2" xfId="5438" xr:uid="{4E1174B3-5719-4789-A4AF-F97EF9B9EB58}"/>
    <cellStyle name="Nota 2 6 7 5 3" xfId="7432" xr:uid="{60ED33AB-AD55-4B61-977C-FF9A818BB739}"/>
    <cellStyle name="Nota 2 6 7 5 4" xfId="8676" xr:uid="{4ACD6C70-59D0-45FD-A472-D59F76965AA4}"/>
    <cellStyle name="Nota 2 6 7 6" xfId="1444" xr:uid="{F1CBD472-41BD-4674-A4A1-344DF5DD4E76}"/>
    <cellStyle name="Nota 2 6 7 7" xfId="3760" xr:uid="{FF4F2193-30A5-43FC-8DCF-17F0264B3596}"/>
    <cellStyle name="Nota 2 6 7 8" xfId="5850" xr:uid="{BCE05C91-B0D4-42A5-A61E-339240D8E8A5}"/>
    <cellStyle name="Nota 2 6 7 9" xfId="7601" xr:uid="{57C5BD2A-BB98-47C4-8D73-4EEBA92746FC}"/>
    <cellStyle name="Nota 2 6 8" xfId="926" xr:uid="{E60995C0-49D8-4F15-A1E8-E74CD02CE706}"/>
    <cellStyle name="Nota 2 6 8 2" xfId="3308" xr:uid="{6A4F2570-37F8-4CA4-A0A1-D9D43BBFAD20}"/>
    <cellStyle name="Nota 2 6 8 3" xfId="3324" xr:uid="{7877E822-895C-4538-9B83-8F2169EF0656}"/>
    <cellStyle name="Nota 2 6 8 4" xfId="6478" xr:uid="{ACA9EBF2-F16B-4407-8F7C-4A4CF70E1727}"/>
    <cellStyle name="Nota 2 6 9" xfId="1623" xr:uid="{619D3952-3F48-491B-9F08-59596656403E}"/>
    <cellStyle name="Nota 2 6 9 2" xfId="3937" xr:uid="{356CF1DC-4535-4D4D-85E0-06D404AA53C4}"/>
    <cellStyle name="Nota 2 6 9 3" xfId="5999" xr:uid="{E372F9E9-1ACA-48F8-B26E-19350A821CE5}"/>
    <cellStyle name="Nota 2 6 9 4" xfId="7722" xr:uid="{DB8056BF-2D5D-4048-B8BD-C5D3ADF0E5A7}"/>
    <cellStyle name="Nota 2 7" xfId="99" xr:uid="{5A4C6266-F253-47E8-8B90-1A4D165CE00B}"/>
    <cellStyle name="Nota 2 7 10" xfId="2314" xr:uid="{0F5DA4BB-2F98-404A-BC1B-848B944AD54A}"/>
    <cellStyle name="Nota 2 7 10 2" xfId="4628" xr:uid="{B67DAB31-40E0-4C3C-88B9-FDDA38A76313}"/>
    <cellStyle name="Nota 2 7 10 3" xfId="6649" xr:uid="{9D9CA670-B549-4D17-B0A7-F376B8143252}"/>
    <cellStyle name="Nota 2 7 10 4" xfId="8141" xr:uid="{F974F02A-1BCD-44DA-9B7B-697DA3C5017F}"/>
    <cellStyle name="Nota 2 7 11" xfId="2398" xr:uid="{1C360A5E-3153-4397-894B-29EE6ACDC26A}"/>
    <cellStyle name="Nota 2 7 11 2" xfId="4712" xr:uid="{A4D3D5DB-D067-44D8-BC83-22D5B1C1C607}"/>
    <cellStyle name="Nota 2 7 11 3" xfId="6725" xr:uid="{DFDC610A-1BB8-4A59-BDFB-1B5BECBD9E55}"/>
    <cellStyle name="Nota 2 7 11 4" xfId="8200" xr:uid="{53AF475D-990B-4C49-9FA9-C62ECD6471EA}"/>
    <cellStyle name="Nota 2 7 12" xfId="849" xr:uid="{51A4E9DA-9AF0-40C4-A642-133A8DDCD191}"/>
    <cellStyle name="Nota 2 7 13" xfId="3238" xr:uid="{62E2C797-C16D-4A7D-A598-8A9AE422B66E}"/>
    <cellStyle name="Nota 2 7 14" xfId="5877" xr:uid="{05B58A80-282D-4C1D-B202-980EFFEF1930}"/>
    <cellStyle name="Nota 2 7 2" xfId="171" xr:uid="{CE368F70-3742-4C2A-9CB8-C007D50BD7AD}"/>
    <cellStyle name="Nota 2 7 2 2" xfId="308" xr:uid="{6A289E1B-10C7-4D57-9808-A5E307C3D2A1}"/>
    <cellStyle name="Nota 2 7 2 2 10" xfId="5619" xr:uid="{20CC7C18-695E-4F71-88EC-48EE39040CA5}"/>
    <cellStyle name="Nota 2 7 2 2 11" xfId="3242" xr:uid="{2C92A3FE-F209-4E36-A3F4-1DC04932968F}"/>
    <cellStyle name="Nota 2 7 2 2 2" xfId="669" xr:uid="{3426401A-E19F-4598-AAC7-8AEDE83D6CD8}"/>
    <cellStyle name="Nota 2 7 2 2 2 2" xfId="2127" xr:uid="{E0C3B2C1-FEF2-402B-AAA9-0D277DD58FB0}"/>
    <cellStyle name="Nota 2 7 2 2 2 2 2" xfId="4441" xr:uid="{7D279FF0-9F8A-47D7-9747-9A9A0AFDCF19}"/>
    <cellStyle name="Nota 2 7 2 2 2 2 3" xfId="6468" xr:uid="{F9A59C81-3430-4A04-BF80-516A3F6B7C33}"/>
    <cellStyle name="Nota 2 7 2 2 2 2 4" xfId="8035" xr:uid="{A8533B75-16DE-442B-8E50-9462F9A8FF09}"/>
    <cellStyle name="Nota 2 7 2 2 2 3" xfId="2579" xr:uid="{D3BEE492-C87D-4095-A337-C981EB130B87}"/>
    <cellStyle name="Nota 2 7 2 2 2 3 2" xfId="4893" xr:uid="{91E7DDCC-055A-4FAA-9391-F5EC95786A6D}"/>
    <cellStyle name="Nota 2 7 2 2 2 3 3" xfId="6891" xr:uid="{31F11140-5E29-4BB3-BBAC-6D48FAE658EB}"/>
    <cellStyle name="Nota 2 7 2 2 2 3 4" xfId="8315" xr:uid="{51FC4FB3-B0D2-4227-A6EC-8C143331B21C}"/>
    <cellStyle name="Nota 2 7 2 2 2 4" xfId="2964" xr:uid="{0FEB9A78-B155-41BC-8E70-F995B30D7F6C}"/>
    <cellStyle name="Nota 2 7 2 2 2 4 2" xfId="5278" xr:uid="{65CA76F5-A1D8-4D66-9323-D125728189D2}"/>
    <cellStyle name="Nota 2 7 2 2 2 4 3" xfId="7272" xr:uid="{8CC16CA0-570B-47E9-84E9-11491A26E5C1}"/>
    <cellStyle name="Nota 2 7 2 2 2 4 4" xfId="8553" xr:uid="{1442A786-45B6-44ED-ACE8-38216BE715D7}"/>
    <cellStyle name="Nota 2 7 2 2 2 5" xfId="3165" xr:uid="{C9E8623B-9E01-4938-9086-F7093266A936}"/>
    <cellStyle name="Nota 2 7 2 2 2 5 2" xfId="5479" xr:uid="{3CE12B4A-3FB0-4F97-A654-581B3D79A566}"/>
    <cellStyle name="Nota 2 7 2 2 2 5 3" xfId="7473" xr:uid="{EE3F2B90-640E-4201-8138-8B09CEEDD201}"/>
    <cellStyle name="Nota 2 7 2 2 2 5 4" xfId="8717" xr:uid="{FA830014-3CF7-4F8C-A043-CAA6B2B057CF}"/>
    <cellStyle name="Nota 2 7 2 2 2 6" xfId="1517" xr:uid="{FBDC5968-E04E-4149-BBA2-88333CF1655B}"/>
    <cellStyle name="Nota 2 7 2 2 2 7" xfId="3833" xr:uid="{2B845FD0-1529-4682-A265-18B4D3476B99}"/>
    <cellStyle name="Nota 2 7 2 2 2 8" xfId="5907" xr:uid="{7606C1CE-649E-408A-8A09-729794A40113}"/>
    <cellStyle name="Nota 2 7 2 2 2 9" xfId="7664" xr:uid="{AC2F3F90-B29F-4175-9A5F-42DE9DF4B93F}"/>
    <cellStyle name="Nota 2 7 2 2 3" xfId="741" xr:uid="{DA9087CE-77C7-45EF-82B1-F1284D3DF40E}"/>
    <cellStyle name="Nota 2 7 2 2 3 2" xfId="2199" xr:uid="{67A3FA93-4E4A-4280-A72E-1054C4B72701}"/>
    <cellStyle name="Nota 2 7 2 2 3 2 2" xfId="4513" xr:uid="{4F2779ED-BB89-4581-9D7D-5ECDE578A11C}"/>
    <cellStyle name="Nota 2 7 2 2 3 2 3" xfId="6535" xr:uid="{F9ACA528-0205-45E8-9699-632D59024A46}"/>
    <cellStyle name="Nota 2 7 2 2 3 2 4" xfId="8080" xr:uid="{29A40E66-26AF-48EF-8C8F-854633635F76}"/>
    <cellStyle name="Nota 2 7 2 2 3 3" xfId="2651" xr:uid="{CDBD01E3-D0DD-4A9D-A342-F369B2223734}"/>
    <cellStyle name="Nota 2 7 2 2 3 3 2" xfId="4965" xr:uid="{B990ED13-9BB6-4627-B12F-428CB844CFED}"/>
    <cellStyle name="Nota 2 7 2 2 3 3 3" xfId="6959" xr:uid="{606ABC73-E113-4BAC-80AB-74CA6ED0BB89}"/>
    <cellStyle name="Nota 2 7 2 2 3 3 4" xfId="8360" xr:uid="{5A0C5FB9-A422-485A-9F88-AC0D891767FB}"/>
    <cellStyle name="Nota 2 7 2 2 3 4" xfId="3026" xr:uid="{2C411ED3-1314-4684-A338-BB5A92EBDFB4}"/>
    <cellStyle name="Nota 2 7 2 2 3 4 2" xfId="5340" xr:uid="{D22082BC-CE09-4028-B398-BC65EC0D8751}"/>
    <cellStyle name="Nota 2 7 2 2 3 4 3" xfId="7334" xr:uid="{835C25FE-7D0E-4266-86BE-060065271EA7}"/>
    <cellStyle name="Nota 2 7 2 2 3 4 4" xfId="8588" xr:uid="{24F0F46C-93E9-43AE-9400-9D93A4C17C00}"/>
    <cellStyle name="Nota 2 7 2 2 3 5" xfId="3200" xr:uid="{33A98AAA-E9B6-4862-AE8A-8CDF6F24CF6E}"/>
    <cellStyle name="Nota 2 7 2 2 3 5 2" xfId="5514" xr:uid="{09016187-9E30-486F-A415-5D9F251813CC}"/>
    <cellStyle name="Nota 2 7 2 2 3 5 3" xfId="7508" xr:uid="{FF947485-35FF-46B0-B1EC-E698BDBD89D1}"/>
    <cellStyle name="Nota 2 7 2 2 3 5 4" xfId="8752" xr:uid="{087043FF-C78B-42AC-97AE-C75395BAC533}"/>
    <cellStyle name="Nota 2 7 2 2 3 6" xfId="1589" xr:uid="{4A0164FE-1408-4D46-A9B7-3867C53B1E48}"/>
    <cellStyle name="Nota 2 7 2 2 3 7" xfId="3905" xr:uid="{09ABB5F4-4CEB-40F7-975F-E149290CEB71}"/>
    <cellStyle name="Nota 2 7 2 2 3 8" xfId="5972" xr:uid="{B1B57520-92D4-486A-9ECA-39B409535A38}"/>
    <cellStyle name="Nota 2 7 2 2 3 9" xfId="7709" xr:uid="{E84E3DBC-8E79-4D03-8BB0-BDFB43E7D54C}"/>
    <cellStyle name="Nota 2 7 2 2 4" xfId="1799" xr:uid="{232CDCF6-3653-4322-A928-2B4B21640D56}"/>
    <cellStyle name="Nota 2 7 2 2 4 2" xfId="4113" xr:uid="{36C2C08B-5050-4766-A20F-D114566EE4EB}"/>
    <cellStyle name="Nota 2 7 2 2 4 3" xfId="6162" xr:uid="{6CFB9CD9-E115-460E-BA5A-971EC7A47CC3}"/>
    <cellStyle name="Nota 2 7 2 2 4 4" xfId="7833" xr:uid="{E9775F36-D435-4786-AF82-BC958E82A9C5}"/>
    <cellStyle name="Nota 2 7 2 2 5" xfId="2256" xr:uid="{48323EAC-FDC6-41D9-9D36-3728ACC67571}"/>
    <cellStyle name="Nota 2 7 2 2 5 2" xfId="4570" xr:uid="{8C641F24-616A-437E-82B7-A3458676D5E4}"/>
    <cellStyle name="Nota 2 7 2 2 5 3" xfId="6592" xr:uid="{1F279C3E-35C7-401E-B027-844024075552}"/>
    <cellStyle name="Nota 2 7 2 2 5 4" xfId="8115" xr:uid="{88C042E4-FB65-4140-8E71-0C790FFCE2F2}"/>
    <cellStyle name="Nota 2 7 2 2 6" xfId="2694" xr:uid="{DAEC8522-C91B-4281-A5C4-BE66EA374FBF}"/>
    <cellStyle name="Nota 2 7 2 2 6 2" xfId="5008" xr:uid="{C06F0C0F-F51D-4052-9C73-E4CD38B83E19}"/>
    <cellStyle name="Nota 2 7 2 2 6 3" xfId="7002" xr:uid="{2B12B01A-A98F-4687-BE44-DFCB9AD60DAD}"/>
    <cellStyle name="Nota 2 7 2 2 6 4" xfId="8393" xr:uid="{CB63BF6D-3433-45CB-BC40-9B934AA607E5}"/>
    <cellStyle name="Nota 2 7 2 2 7" xfId="3046" xr:uid="{67440A6E-E3DC-4E31-82CD-F9F345A5E657}"/>
    <cellStyle name="Nota 2 7 2 2 7 2" xfId="5360" xr:uid="{6D305CCA-E121-45D5-84EB-5DB46D9DDCB9}"/>
    <cellStyle name="Nota 2 7 2 2 7 3" xfId="7354" xr:uid="{E5566EC8-DC46-4E67-AB72-049A0EFE0C58}"/>
    <cellStyle name="Nota 2 7 2 2 7 4" xfId="8598" xr:uid="{522D7E45-17F4-41E1-8125-FC4069EB2BDF}"/>
    <cellStyle name="Nota 2 7 2 2 8" xfId="1156" xr:uid="{736C2C46-008B-48F8-99E6-E3EF630761E6}"/>
    <cellStyle name="Nota 2 7 2 2 9" xfId="3500" xr:uid="{95E81A6F-75F7-406D-B63F-42496BBBA1EF}"/>
    <cellStyle name="Nota 2 7 2 3" xfId="482" xr:uid="{AF49D082-79B2-4B3C-80CB-E1A8E7C09264}"/>
    <cellStyle name="Nota 2 7 2 3 2" xfId="1946" xr:uid="{35D677E3-C8CD-45D4-AEAF-1F1DB76D3402}"/>
    <cellStyle name="Nota 2 7 2 3 2 2" xfId="4260" xr:uid="{CE613A7B-0AAB-4338-9956-72DC86B87E1A}"/>
    <cellStyle name="Nota 2 7 2 3 2 3" xfId="6304" xr:uid="{215FB235-2513-49A0-843F-761C7943F747}"/>
    <cellStyle name="Nota 2 7 2 3 2 4" xfId="7920" xr:uid="{8F59D462-9C5A-4B33-8272-9FE9C5E3E15B}"/>
    <cellStyle name="Nota 2 7 2 3 3" xfId="2400" xr:uid="{9F8B85EF-CBB4-4F8F-848E-19255927FFAD}"/>
    <cellStyle name="Nota 2 7 2 3 3 2" xfId="4714" xr:uid="{466281E1-2E96-4CEE-81AC-44A4591F7393}"/>
    <cellStyle name="Nota 2 7 2 3 3 3" xfId="6727" xr:uid="{915966FF-0417-4525-9366-BF9824833F4C}"/>
    <cellStyle name="Nota 2 7 2 3 3 4" xfId="8202" xr:uid="{BE1A5AEF-AC4B-4D49-945C-20F8E2F4BC73}"/>
    <cellStyle name="Nota 2 7 2 3 4" xfId="2808" xr:uid="{7DCF1388-2874-451D-8116-2EE1AC11CA03}"/>
    <cellStyle name="Nota 2 7 2 3 4 2" xfId="5122" xr:uid="{78E770CE-97E5-4E27-B558-E20220E4CD69}"/>
    <cellStyle name="Nota 2 7 2 3 4 3" xfId="7116" xr:uid="{5AE711F0-C355-486A-8278-F6578A5F8E4D}"/>
    <cellStyle name="Nota 2 7 2 3 4 4" xfId="8463" xr:uid="{AEACC6A1-A6AE-4BFF-A03C-FB47F6C8DFE6}"/>
    <cellStyle name="Nota 2 7 2 3 5" xfId="3081" xr:uid="{44E38D54-0D71-4D15-B512-3668506BFCFE}"/>
    <cellStyle name="Nota 2 7 2 3 5 2" xfId="5395" xr:uid="{49440AF4-534B-4273-829E-E2051D776235}"/>
    <cellStyle name="Nota 2 7 2 3 5 3" xfId="7389" xr:uid="{AD7E79FF-7151-4CB1-81BA-555C4ED95B7A}"/>
    <cellStyle name="Nota 2 7 2 3 5 4" xfId="8633" xr:uid="{57358A4E-2EB7-4C99-A2B7-86E5B7D58481}"/>
    <cellStyle name="Nota 2 7 2 3 6" xfId="1330" xr:uid="{030B40A0-90B5-4666-9AA0-81C4ED23B457}"/>
    <cellStyle name="Nota 2 7 2 3 7" xfId="3650" xr:uid="{BB79116B-366F-4D81-91F7-BC0D691F67E4}"/>
    <cellStyle name="Nota 2 7 2 3 8" xfId="5745" xr:uid="{F31CA3DE-1CE1-4026-A178-B82092A92933}"/>
    <cellStyle name="Nota 2 7 2 3 9" xfId="7552" xr:uid="{6F54779A-474F-4351-A435-BEB3723FE358}"/>
    <cellStyle name="Nota 2 7 2 4" xfId="2394" xr:uid="{F0962C8E-510C-4EE0-9B7C-801641D18CE5}"/>
    <cellStyle name="Nota 2 7 2 4 2" xfId="4708" xr:uid="{CBD88CA1-657D-468A-8257-CE2C14BEB986}"/>
    <cellStyle name="Nota 2 7 2 4 3" xfId="6721" xr:uid="{8E3ED59F-1B61-41F2-BB3C-DF6351B11CCF}"/>
    <cellStyle name="Nota 2 7 2 4 4" xfId="8196" xr:uid="{AB8EEB75-C6FD-43BC-84EF-5A063F01822F}"/>
    <cellStyle name="Nota 2 7 2 5" xfId="1019" xr:uid="{FDDD33D6-D632-4E37-B070-4AF90FEBFD0C}"/>
    <cellStyle name="Nota 2 7 2 6" xfId="3385" xr:uid="{70CE3DA1-D1A1-4DF4-975B-F9BDED53AD98}"/>
    <cellStyle name="Nota 2 7 2 7" xfId="5525" xr:uid="{741E01A1-2A32-4EE6-8502-0E538FE1B4F2}"/>
    <cellStyle name="Nota 2 7 2 8" xfId="3341" xr:uid="{1B6CDA5C-5F83-4AF6-B709-BD75B80CC006}"/>
    <cellStyle name="Nota 2 7 3" xfId="239" xr:uid="{C873F332-277E-4F75-9246-A5B572313F96}"/>
    <cellStyle name="Nota 2 7 3 10" xfId="3442" xr:uid="{CB3234D7-C143-4C3A-ABC0-929BAC6BBC49}"/>
    <cellStyle name="Nota 2 7 3 11" xfId="5569" xr:uid="{53887A81-81CE-476D-8F85-A80F6E067D8C}"/>
    <cellStyle name="Nota 2 7 3 12" xfId="5584" xr:uid="{2EEBC2D6-0EB1-47A4-B63A-DDD3B5D1E0C2}"/>
    <cellStyle name="Nota 2 7 3 2" xfId="623" xr:uid="{1DDBBCB7-9BDF-4B44-8D95-62DD22A4199D}"/>
    <cellStyle name="Nota 2 7 3 2 2" xfId="2081" xr:uid="{968E13DE-5371-4D0F-9E28-617D9E7516CC}"/>
    <cellStyle name="Nota 2 7 3 2 2 2" xfId="4395" xr:uid="{50836F2C-6ABF-411E-B930-B7E7149CB787}"/>
    <cellStyle name="Nota 2 7 3 2 2 3" xfId="6435" xr:uid="{9A4EAB65-11EB-43A9-A55A-B472FCB4CAA8}"/>
    <cellStyle name="Nota 2 7 3 2 2 4" xfId="7992" xr:uid="{EF423A63-839C-4380-8FC0-E9E3E1D2FA02}"/>
    <cellStyle name="Nota 2 7 3 2 3" xfId="2533" xr:uid="{BBBE67B6-8247-409B-968A-DCD957946398}"/>
    <cellStyle name="Nota 2 7 3 2 3 2" xfId="4847" xr:uid="{61149A28-38CD-474E-B25C-9BE8579FC788}"/>
    <cellStyle name="Nota 2 7 3 2 3 3" xfId="6855" xr:uid="{F6A8A1CD-658F-46FA-81C2-F7598D2B685C}"/>
    <cellStyle name="Nota 2 7 3 2 3 4" xfId="8272" xr:uid="{84E34B58-D0A2-440A-BCA4-D1D565F9F6BC}"/>
    <cellStyle name="Nota 2 7 3 2 4" xfId="2934" xr:uid="{C1E3D6B1-4DCE-475F-8246-E7B471729DF9}"/>
    <cellStyle name="Nota 2 7 3 2 4 2" xfId="5248" xr:uid="{D194222C-CEE3-4A39-8608-00F5BE9A0680}"/>
    <cellStyle name="Nota 2 7 3 2 4 3" xfId="7242" xr:uid="{94D096BA-2216-44B1-9F5F-6BEF6D587381}"/>
    <cellStyle name="Nota 2 7 3 2 4 4" xfId="8526" xr:uid="{850515FF-59A9-44EB-A82D-3FCF05EF7FD7}"/>
    <cellStyle name="Nota 2 7 3 2 5" xfId="3140" xr:uid="{41DF02A9-E0F7-4EF3-AECD-D9EA1B21DFF1}"/>
    <cellStyle name="Nota 2 7 3 2 5 2" xfId="5454" xr:uid="{5B007E23-4F5B-4B4E-9F51-7E70A8540E2D}"/>
    <cellStyle name="Nota 2 7 3 2 5 3" xfId="7448" xr:uid="{8D098C44-353B-400A-BFC2-9E598D238CDB}"/>
    <cellStyle name="Nota 2 7 3 2 5 4" xfId="8692" xr:uid="{28031F1D-B8CB-424F-BA11-B970FF65E919}"/>
    <cellStyle name="Nota 2 7 3 2 6" xfId="1471" xr:uid="{202A9FED-AA23-482D-9831-343ED39E2961}"/>
    <cellStyle name="Nota 2 7 3 2 7" xfId="3787" xr:uid="{C93AFC83-B8F1-472B-89BE-BCD55336AD12}"/>
    <cellStyle name="Nota 2 7 3 2 8" xfId="5874" xr:uid="{BAAAC42F-BB47-4627-8545-686639FAF246}"/>
    <cellStyle name="Nota 2 7 3 2 9" xfId="7621" xr:uid="{78E8841A-E951-4372-84DE-9180E490F81C}"/>
    <cellStyle name="Nota 2 7 3 3" xfId="699" xr:uid="{C54A50EA-8D06-4332-84D4-EA8A2D850D30}"/>
    <cellStyle name="Nota 2 7 3 3 2" xfId="2157" xr:uid="{8E43AF39-D284-48DC-A1C5-3F89EDC23BC1}"/>
    <cellStyle name="Nota 2 7 3 3 2 2" xfId="4471" xr:uid="{D837E3CB-DC19-4A6A-9F21-B8499A04B419}"/>
    <cellStyle name="Nota 2 7 3 3 2 3" xfId="6493" xr:uid="{EA43B368-ABF4-40EB-A6F0-410468F8C99E}"/>
    <cellStyle name="Nota 2 7 3 3 2 4" xfId="8059" xr:uid="{A3D2499A-96FD-4B28-9B1B-8EF3B7165DE9}"/>
    <cellStyle name="Nota 2 7 3 3 3" xfId="2609" xr:uid="{A1F42812-E25E-44BC-98B1-878749CF0510}"/>
    <cellStyle name="Nota 2 7 3 3 3 2" xfId="4923" xr:uid="{19CBC7B2-3EAE-4162-8746-FD8AFD677454}"/>
    <cellStyle name="Nota 2 7 3 3 3 3" xfId="6917" xr:uid="{D3A2C231-3C9E-4124-8C7F-70684143CA79}"/>
    <cellStyle name="Nota 2 7 3 3 3 4" xfId="8339" xr:uid="{F73DEBAD-CB9E-490A-AC7A-BD2EAE625835}"/>
    <cellStyle name="Nota 2 7 3 3 4" xfId="2984" xr:uid="{21582EED-EC6F-4467-81E1-EE3AB12FF182}"/>
    <cellStyle name="Nota 2 7 3 3 4 2" xfId="5298" xr:uid="{51D2A9FD-BC4A-412B-B565-A9A000990D70}"/>
    <cellStyle name="Nota 2 7 3 3 4 3" xfId="7292" xr:uid="{E95FB02F-060D-4325-ACC0-180E0CD4BD9C}"/>
    <cellStyle name="Nota 2 7 3 3 4 4" xfId="8567" xr:uid="{6B257065-06E1-438A-AFA2-514865A07479}"/>
    <cellStyle name="Nota 2 7 3 3 5" xfId="3179" xr:uid="{5529A4DC-2A41-48C2-B5CE-B4FD4577DADE}"/>
    <cellStyle name="Nota 2 7 3 3 5 2" xfId="5493" xr:uid="{22B666D1-3065-4D14-A15F-DE0310AEF4FA}"/>
    <cellStyle name="Nota 2 7 3 3 5 3" xfId="7487" xr:uid="{13F71202-0721-4772-8EB3-04F2C83987B8}"/>
    <cellStyle name="Nota 2 7 3 3 5 4" xfId="8731" xr:uid="{F718BBA3-913C-4BF5-9AC6-F41A8798BBFF}"/>
    <cellStyle name="Nota 2 7 3 3 6" xfId="1547" xr:uid="{1376C3EC-055A-4E3E-88B0-806D7CB38CEC}"/>
    <cellStyle name="Nota 2 7 3 3 7" xfId="3863" xr:uid="{7385F763-E2EC-41F5-B874-B2CDDA76B62B}"/>
    <cellStyle name="Nota 2 7 3 3 8" xfId="5930" xr:uid="{51206C7D-B8E0-4B23-88DD-6E3C57331763}"/>
    <cellStyle name="Nota 2 7 3 3 9" xfId="7688" xr:uid="{8E7FE723-D392-4FBE-8ACB-520F0E992CFF}"/>
    <cellStyle name="Nota 2 7 3 4" xfId="515" xr:uid="{97644854-CF0A-447C-BB75-1A41E5AA1204}"/>
    <cellStyle name="Nota 2 7 3 4 2" xfId="1974" xr:uid="{0E0E3D39-E580-4F1F-9E22-3A85156200D7}"/>
    <cellStyle name="Nota 2 7 3 4 2 2" xfId="4288" xr:uid="{107A9E8E-1F73-4A6B-A2D9-8BD61A0287FB}"/>
    <cellStyle name="Nota 2 7 3 4 2 3" xfId="6329" xr:uid="{AFD227A8-F4CA-47FF-B85F-57132F8E0563}"/>
    <cellStyle name="Nota 2 7 3 4 2 4" xfId="7940" xr:uid="{671A82DD-CB7F-4929-9066-8C16F70B69A2}"/>
    <cellStyle name="Nota 2 7 3 4 3" xfId="2425" xr:uid="{377170A7-1009-4AE1-9937-0A3764F37833}"/>
    <cellStyle name="Nota 2 7 3 4 3 2" xfId="4739" xr:uid="{7FCCBDD6-D24A-4725-88FD-965370A58CD5}"/>
    <cellStyle name="Nota 2 7 3 4 3 3" xfId="6749" xr:uid="{329AEFAC-B077-4A3D-BC77-453D37C7D35A}"/>
    <cellStyle name="Nota 2 7 3 4 3 4" xfId="8219" xr:uid="{6F421EC2-92EB-4BBF-8027-8B843713D6D8}"/>
    <cellStyle name="Nota 2 7 3 4 4" xfId="2830" xr:uid="{E1C91527-31E5-4106-AD7C-C26981A1F6B5}"/>
    <cellStyle name="Nota 2 7 3 4 4 2" xfId="5144" xr:uid="{45884CBC-A499-4DB8-81A1-D04CCBF30B54}"/>
    <cellStyle name="Nota 2 7 3 4 4 3" xfId="7138" xr:uid="{9B1AC476-BF55-4FAD-B790-00039227358E}"/>
    <cellStyle name="Nota 2 7 3 4 4 4" xfId="8477" xr:uid="{A4117A35-1D67-445F-9B7C-3BBAB77C4025}"/>
    <cellStyle name="Nota 2 7 3 4 5" xfId="3092" xr:uid="{8DB23C7D-BF16-477C-9382-6BEC484CCEBD}"/>
    <cellStyle name="Nota 2 7 3 4 5 2" xfId="5406" xr:uid="{1BCA87E6-686E-43E6-9A7F-993F2FA965C3}"/>
    <cellStyle name="Nota 2 7 3 4 5 3" xfId="7400" xr:uid="{65D770F7-71C1-4AA6-8972-88D8A22C9F5F}"/>
    <cellStyle name="Nota 2 7 3 4 5 4" xfId="8644" xr:uid="{9307EAE7-0130-4056-94EE-3682457EBB23}"/>
    <cellStyle name="Nota 2 7 3 4 6" xfId="1363" xr:uid="{582C11D4-961D-4A13-BB1F-13E690439488}"/>
    <cellStyle name="Nota 2 7 3 4 7" xfId="3679" xr:uid="{1667B0EE-3C3D-42E2-951F-B73AD69AB579}"/>
    <cellStyle name="Nota 2 7 3 4 8" xfId="5769" xr:uid="{AC08C88E-FB00-4FE4-B022-6142D90AE79E}"/>
    <cellStyle name="Nota 2 7 3 4 9" xfId="7569" xr:uid="{1CD91343-055F-4A0C-9D0B-9F079BC13F6D}"/>
    <cellStyle name="Nota 2 7 3 5" xfId="1740" xr:uid="{3A696925-6A2E-4FE9-9BA1-BC64F36B9C48}"/>
    <cellStyle name="Nota 2 7 3 5 2" xfId="4054" xr:uid="{1772C7EA-5A12-4C39-9D59-D59CA408EF45}"/>
    <cellStyle name="Nota 2 7 3 5 3" xfId="6106" xr:uid="{90AB6394-2BC4-4785-852A-33D250939715}"/>
    <cellStyle name="Nota 2 7 3 5 4" xfId="7797" xr:uid="{2FA9E1AC-969D-4294-916A-9C32314201B4}"/>
    <cellStyle name="Nota 2 7 3 6" xfId="1636" xr:uid="{E848E631-5E17-4515-B750-D9710BA29D4E}"/>
    <cellStyle name="Nota 2 7 3 6 2" xfId="3950" xr:uid="{0A9F288C-9647-4B6F-AEFB-BEAF061586FC}"/>
    <cellStyle name="Nota 2 7 3 6 3" xfId="6010" xr:uid="{4A268C38-937B-4AE1-B6F3-EC8F80D76F73}"/>
    <cellStyle name="Nota 2 7 3 6 4" xfId="7733" xr:uid="{ED1ADB3A-7838-401D-B1F5-F321831C6B9F}"/>
    <cellStyle name="Nota 2 7 3 7" xfId="2342" xr:uid="{8FA7B4D6-CD75-453E-98CB-03E367292B35}"/>
    <cellStyle name="Nota 2 7 3 7 2" xfId="4656" xr:uid="{42E9805A-063E-4A58-8308-AA902E77D07F}"/>
    <cellStyle name="Nota 2 7 3 7 3" xfId="6671" xr:uid="{8596B467-C13A-4EA2-A667-0AEB9DFE5013}"/>
    <cellStyle name="Nota 2 7 3 7 4" xfId="8162" xr:uid="{7DBC7E68-E7F2-4868-B9E2-F7917CC4BACC}"/>
    <cellStyle name="Nota 2 7 3 8" xfId="2706" xr:uid="{A34AD022-D040-4ECF-8909-196B7129C35A}"/>
    <cellStyle name="Nota 2 7 3 8 2" xfId="5020" xr:uid="{A9C85362-D743-454A-80AA-71866C435587}"/>
    <cellStyle name="Nota 2 7 3 8 3" xfId="7014" xr:uid="{85C5DA4A-5876-4283-AE2E-872DEA10E759}"/>
    <cellStyle name="Nota 2 7 3 8 4" xfId="8405" xr:uid="{04E34062-D5F0-4018-AA66-FFFE9B64BC51}"/>
    <cellStyle name="Nota 2 7 3 9" xfId="1087" xr:uid="{CF32E7AE-AFEB-4BBD-84AB-40429ED62F9B}"/>
    <cellStyle name="Nota 2 7 4" xfId="411" xr:uid="{D4E5CA0C-260E-47DC-96BE-AF119107CCD3}"/>
    <cellStyle name="Nota 2 7 4 2" xfId="1888" xr:uid="{0668F344-50A3-4F92-BAB3-E01FE6F010E3}"/>
    <cellStyle name="Nota 2 7 4 2 2" xfId="4202" xr:uid="{7739720A-3D4E-4E2A-9A67-48F5DCC57E16}"/>
    <cellStyle name="Nota 2 7 4 2 3" xfId="6248" xr:uid="{26366493-224C-4A40-985E-87E4EC8B2B92}"/>
    <cellStyle name="Nota 2 7 4 2 4" xfId="7882" xr:uid="{C25A681D-B94F-484E-9A7B-C50FA9D5283A}"/>
    <cellStyle name="Nota 2 7 4 3" xfId="2344" xr:uid="{64C7BC6D-98EA-4B20-91DD-27799FC3A632}"/>
    <cellStyle name="Nota 2 7 4 3 2" xfId="4658" xr:uid="{CB311B13-529D-437E-A5C4-8BF29BB5F763}"/>
    <cellStyle name="Nota 2 7 4 3 3" xfId="6673" xr:uid="{2C7DE196-03EF-4453-862E-31AC30B137F3}"/>
    <cellStyle name="Nota 2 7 4 3 4" xfId="8163" xr:uid="{7B0E19C5-44DC-416B-8331-82DC2F23F49D}"/>
    <cellStyle name="Nota 2 7 4 4" xfId="2759" xr:uid="{BBC5E26E-6370-4928-AD54-E0F69DD5EA4B}"/>
    <cellStyle name="Nota 2 7 4 4 2" xfId="5073" xr:uid="{B429C30E-E59E-4932-8B12-C399955A5141}"/>
    <cellStyle name="Nota 2 7 4 4 3" xfId="7067" xr:uid="{D9E5D935-5928-4FF8-A060-C71E8453FEAB}"/>
    <cellStyle name="Nota 2 7 4 4 4" xfId="8431" xr:uid="{B04DCF6C-F50D-4075-86B3-E7017035A74B}"/>
    <cellStyle name="Nota 2 7 4 5" xfId="3058" xr:uid="{A0537535-512D-41E4-964C-723E71BC4055}"/>
    <cellStyle name="Nota 2 7 4 5 2" xfId="5372" xr:uid="{F25086A9-E511-4F89-805B-5AA7B6A7E163}"/>
    <cellStyle name="Nota 2 7 4 5 3" xfId="7366" xr:uid="{7A1444E4-3CA3-4BCB-A474-EF10FBA60018}"/>
    <cellStyle name="Nota 2 7 4 5 4" xfId="8610" xr:uid="{930E9742-3617-454F-A5AA-63CCFD2DE904}"/>
    <cellStyle name="Nota 2 7 4 6" xfId="1259" xr:uid="{C3EA5490-F4AF-48D1-8E12-AFFD09663E63}"/>
    <cellStyle name="Nota 2 7 4 7" xfId="3587" xr:uid="{1EA6BAE2-5734-4B50-B3E1-A8EA9045A4AE}"/>
    <cellStyle name="Nota 2 7 4 8" xfId="5695" xr:uid="{D692E5B3-A360-4451-BDB5-A710FD06EE46}"/>
    <cellStyle name="Nota 2 7 4 9" xfId="7525" xr:uid="{E8C0CFCC-CFB2-4F77-96C7-EB54D6B96696}"/>
    <cellStyle name="Nota 2 7 5" xfId="558" xr:uid="{65BEADEA-414E-43E5-B571-F6D2126E3A11}"/>
    <cellStyle name="Nota 2 7 5 2" xfId="2016" xr:uid="{979AE5D1-93A5-44DC-812C-88DC72DF025D}"/>
    <cellStyle name="Nota 2 7 5 2 2" xfId="4330" xr:uid="{6FE7F778-63B9-4261-A3AD-1A9E99822BEB}"/>
    <cellStyle name="Nota 2 7 5 2 3" xfId="6371" xr:uid="{F879AFA6-15CB-4601-9007-08C14668F3C8}"/>
    <cellStyle name="Nota 2 7 5 2 4" xfId="7951" xr:uid="{1DB9FACA-1EA0-49C6-AF77-D63F3D48A7FB}"/>
    <cellStyle name="Nota 2 7 5 3" xfId="2468" xr:uid="{9671B37A-37CD-4935-AF77-5FF41850C783}"/>
    <cellStyle name="Nota 2 7 5 3 2" xfId="4782" xr:uid="{0FABE3FC-0841-4209-AFFD-1051D169C09B}"/>
    <cellStyle name="Nota 2 7 5 3 3" xfId="6792" xr:uid="{D8288157-FA0B-429A-9A3F-22674E7707AB}"/>
    <cellStyle name="Nota 2 7 5 3 4" xfId="8231" xr:uid="{5D010DBC-8FF4-4F53-B723-78137C9CA76B}"/>
    <cellStyle name="Nota 2 7 5 4" xfId="2873" xr:uid="{D0056DCC-55BA-4E28-A60D-22A1739FF77F}"/>
    <cellStyle name="Nota 2 7 5 4 2" xfId="5187" xr:uid="{6E35C68C-07CE-4719-8595-94C6102DF2A9}"/>
    <cellStyle name="Nota 2 7 5 4 3" xfId="7181" xr:uid="{B27DDA9F-F406-4339-86F2-F2A45D48619A}"/>
    <cellStyle name="Nota 2 7 5 4 4" xfId="8489" xr:uid="{57AB480F-39AF-401D-ADFA-DC551DB3FF86}"/>
    <cellStyle name="Nota 2 7 5 5" xfId="3103" xr:uid="{23571EEB-1DA0-4EF6-B1C2-9E78DC43904D}"/>
    <cellStyle name="Nota 2 7 5 5 2" xfId="5417" xr:uid="{C368C634-DDC8-4090-A48F-A02FBCCB4A89}"/>
    <cellStyle name="Nota 2 7 5 5 3" xfId="7411" xr:uid="{56375414-040E-44D3-A4BC-FA44AC22C1B3}"/>
    <cellStyle name="Nota 2 7 5 5 4" xfId="8655" xr:uid="{A8AA6909-60A4-4462-B9DC-187B7DDFB849}"/>
    <cellStyle name="Nota 2 7 5 6" xfId="1406" xr:uid="{F8024BF3-2240-4BA4-9C3F-C503F26C8137}"/>
    <cellStyle name="Nota 2 7 5 7" xfId="3722" xr:uid="{42509803-3845-48B0-BCBE-A157F726CF09}"/>
    <cellStyle name="Nota 2 7 5 8" xfId="5812" xr:uid="{0BDEC1BE-237B-49CE-9099-B8A45B3C8D91}"/>
    <cellStyle name="Nota 2 7 5 9" xfId="7580" xr:uid="{77EAC4CF-97FB-45B5-A194-1AC2D9B9F178}"/>
    <cellStyle name="Nota 2 7 6" xfId="338" xr:uid="{D1537239-D48E-408F-B6E6-CEC4BE72EA10}"/>
    <cellStyle name="Nota 2 7 6 2" xfId="1825" xr:uid="{92B99555-DFA0-4C45-8B26-06FA1940C12E}"/>
    <cellStyle name="Nota 2 7 6 2 2" xfId="4139" xr:uid="{4189B5D5-4908-4C58-8D28-9455A1E5C478}"/>
    <cellStyle name="Nota 2 7 6 2 3" xfId="6188" xr:uid="{5028FC66-15D7-427C-AE8E-637784821FE3}"/>
    <cellStyle name="Nota 2 7 6 2 4" xfId="7846" xr:uid="{3E73948C-7A48-47D5-B82E-3E6D8CA060AE}"/>
    <cellStyle name="Nota 2 7 6 3" xfId="2280" xr:uid="{4055C66C-2B4B-41CE-A7D5-CFEBAFB1C07E}"/>
    <cellStyle name="Nota 2 7 6 3 2" xfId="4594" xr:uid="{02662BEB-CE8E-4A21-B294-2FA5D3617B7F}"/>
    <cellStyle name="Nota 2 7 6 3 3" xfId="6616" xr:uid="{05BC59AB-A071-4414-8C5D-D98A2B9B3578}"/>
    <cellStyle name="Nota 2 7 6 3 4" xfId="8128" xr:uid="{46E80DA4-E738-48EE-B215-832390403A35}"/>
    <cellStyle name="Nota 2 7 6 4" xfId="2710" xr:uid="{FF00092C-AEB9-4F78-9DCD-28E347ADB90D}"/>
    <cellStyle name="Nota 2 7 6 4 2" xfId="5024" xr:uid="{A0A4B2CD-2529-43AC-9947-A8EE68614D12}"/>
    <cellStyle name="Nota 2 7 6 4 3" xfId="7018" xr:uid="{435B8175-EE8A-40B4-B03A-2E849DB13CD4}"/>
    <cellStyle name="Nota 2 7 6 4 4" xfId="8408" xr:uid="{10FA9AF5-30A9-457B-ADF0-FC381AD4EA92}"/>
    <cellStyle name="Nota 2 7 6 5" xfId="1780" xr:uid="{22252E6D-7DC1-4037-ACA1-26C50A8C2EB1}"/>
    <cellStyle name="Nota 2 7 6 5 2" xfId="4094" xr:uid="{0FC1B287-1CEB-437B-91BE-FD1D9A269267}"/>
    <cellStyle name="Nota 2 7 6 5 3" xfId="6143" xr:uid="{F3B3E725-DC75-4D4A-BE7E-C801433FE100}"/>
    <cellStyle name="Nota 2 7 6 5 4" xfId="7822" xr:uid="{AA8207D4-8A28-440C-BFEB-8AADCD55F6F7}"/>
    <cellStyle name="Nota 2 7 6 6" xfId="1186" xr:uid="{0D3B3EB0-9912-4B36-B0F3-F0C4881B8584}"/>
    <cellStyle name="Nota 2 7 6 7" xfId="3524" xr:uid="{616ADAE7-F49D-484B-9EA9-57ADB160CEAF}"/>
    <cellStyle name="Nota 2 7 6 8" xfId="5644" xr:uid="{4B0B187B-B901-4912-8359-285C4A776BFE}"/>
    <cellStyle name="Nota 2 7 6 9" xfId="3435" xr:uid="{03B12AE6-5858-4065-8AF1-6BF57017BD6E}"/>
    <cellStyle name="Nota 2 7 7" xfId="949" xr:uid="{E12CD0E7-6FD0-4D3D-B0A9-4F9239EC2D09}"/>
    <cellStyle name="Nota 2 7 7 2" xfId="3329" xr:uid="{35298AC8-1A67-42AC-A65C-2D8917721618}"/>
    <cellStyle name="Nota 2 7 7 3" xfId="3233" xr:uid="{E253C55E-6A4D-499D-AA8E-0C8FB7F21F8F}"/>
    <cellStyle name="Nota 2 7 7 4" xfId="6895" xr:uid="{C500492F-4405-4CAF-A4F6-E93C3ED5A4EF}"/>
    <cellStyle name="Nota 2 7 8" xfId="1639" xr:uid="{3E6F31F4-6CA8-44CA-AA21-DF0ECA1A9CB9}"/>
    <cellStyle name="Nota 2 7 8 2" xfId="3953" xr:uid="{027D5806-914F-43F3-853B-61B771AB5F6F}"/>
    <cellStyle name="Nota 2 7 8 3" xfId="6013" xr:uid="{B22FDADE-E026-47FC-AB94-9D73F952E64C}"/>
    <cellStyle name="Nota 2 7 8 4" xfId="7734" xr:uid="{0D8868D5-A097-43CE-8A92-3BE1AAB0C9F6}"/>
    <cellStyle name="Nota 2 7 9" xfId="1887" xr:uid="{EED0FA08-D6EC-4616-B644-88A6EC6614EC}"/>
    <cellStyle name="Nota 2 7 9 2" xfId="4201" xr:uid="{186D5272-4E6F-455A-AE0A-A333579D1C53}"/>
    <cellStyle name="Nota 2 7 9 3" xfId="6247" xr:uid="{D5529A95-F6B2-4AA9-BD4C-AAF9F16E239E}"/>
    <cellStyle name="Nota 2 7 9 4" xfId="7881" xr:uid="{EA3560FA-14D2-4384-B972-C20CFBC50069}"/>
    <cellStyle name="Nota 2 8" xfId="94" xr:uid="{49C5744E-072E-46AF-B283-8B8755C547F8}"/>
    <cellStyle name="Nota 2 8 10" xfId="1680" xr:uid="{581A5327-1C3E-4717-BD98-87743618B2B2}"/>
    <cellStyle name="Nota 2 8 10 2" xfId="3994" xr:uid="{571A7A4D-7FEF-4DEB-AC21-AA7697C8C2A3}"/>
    <cellStyle name="Nota 2 8 10 3" xfId="6050" xr:uid="{CE5EBD4D-D322-4C99-B08F-A2A83815E606}"/>
    <cellStyle name="Nota 2 8 10 4" xfId="7762" xr:uid="{0BCBFF01-1252-4527-8D0B-02D950EAF8AC}"/>
    <cellStyle name="Nota 2 8 11" xfId="2807" xr:uid="{1CB9EBC7-C757-43F0-865F-8DBA9214D1B2}"/>
    <cellStyle name="Nota 2 8 11 2" xfId="5121" xr:uid="{9FD33015-4A4B-41D8-881F-3729CBE1C33F}"/>
    <cellStyle name="Nota 2 8 11 3" xfId="7115" xr:uid="{40E43EAC-504B-4109-BFBE-EA0C60473ECB}"/>
    <cellStyle name="Nota 2 8 11 4" xfId="8462" xr:uid="{F2F4B59A-8B4C-48E0-BE1E-C10596F57B17}"/>
    <cellStyle name="Nota 2 8 12" xfId="844" xr:uid="{7E68478A-F160-46AE-953D-7E020AAFCBC1}"/>
    <cellStyle name="Nota 2 8 13" xfId="3236" xr:uid="{BB7B45A4-ECB6-4547-99DC-824A951CA9E1}"/>
    <cellStyle name="Nota 2 8 14" xfId="5533" xr:uid="{05281A2F-ADF6-4FE5-9EF2-1338CFDBE315}"/>
    <cellStyle name="Nota 2 8 2" xfId="166" xr:uid="{EC8E2162-FCD6-4578-8EC7-08A30A3FD888}"/>
    <cellStyle name="Nota 2 8 2 2" xfId="303" xr:uid="{CB898E5B-9281-423D-9148-93409145616F}"/>
    <cellStyle name="Nota 2 8 2 2 10" xfId="5616" xr:uid="{FA9EF315-9594-411D-A441-CDCF6BC23F60}"/>
    <cellStyle name="Nota 2 8 2 2 11" xfId="5615" xr:uid="{418B10B5-BCA0-4709-BAA9-0738F6B53A9A}"/>
    <cellStyle name="Nota 2 8 2 2 2" xfId="667" xr:uid="{44B3EEE5-4152-4869-BEAB-67B4E317C449}"/>
    <cellStyle name="Nota 2 8 2 2 2 2" xfId="2125" xr:uid="{7EB6984F-519E-4856-914C-511FCDF31CDF}"/>
    <cellStyle name="Nota 2 8 2 2 2 2 2" xfId="4439" xr:uid="{4D92B454-307A-4EAF-83F4-7CAF51664019}"/>
    <cellStyle name="Nota 2 8 2 2 2 2 3" xfId="6467" xr:uid="{A76D0FBF-B0CA-4FA4-B2F0-2CA4EF8810F3}"/>
    <cellStyle name="Nota 2 8 2 2 2 2 4" xfId="8033" xr:uid="{84558685-89A9-4BE9-9E94-55B4517254AB}"/>
    <cellStyle name="Nota 2 8 2 2 2 3" xfId="2577" xr:uid="{E162BC27-991D-4768-AC25-A09A6C6E5437}"/>
    <cellStyle name="Nota 2 8 2 2 2 3 2" xfId="4891" xr:uid="{2C98FC70-8578-40C4-BD06-AB883027E03E}"/>
    <cellStyle name="Nota 2 8 2 2 2 3 3" xfId="6889" xr:uid="{AC6D26AA-50A5-46B1-A382-8C53CFAED971}"/>
    <cellStyle name="Nota 2 8 2 2 2 3 4" xfId="8313" xr:uid="{EF1E1142-7ED4-421B-B55E-E27B58D1E990}"/>
    <cellStyle name="Nota 2 8 2 2 2 4" xfId="2963" xr:uid="{F5EC938A-58BA-402D-8807-50C729D39A07}"/>
    <cellStyle name="Nota 2 8 2 2 2 4 2" xfId="5277" xr:uid="{94C0BFF2-D0D4-4B6F-B443-82D42A5F3CFD}"/>
    <cellStyle name="Nota 2 8 2 2 2 4 3" xfId="7271" xr:uid="{86681B99-526D-4669-9D76-4095988E768D}"/>
    <cellStyle name="Nota 2 8 2 2 2 4 4" xfId="8552" xr:uid="{31A42827-A63C-47B9-A36B-B02A592EBC7E}"/>
    <cellStyle name="Nota 2 8 2 2 2 5" xfId="3164" xr:uid="{204C032C-662A-4AC8-A20F-914D8FDA0DA8}"/>
    <cellStyle name="Nota 2 8 2 2 2 5 2" xfId="5478" xr:uid="{51C77E4C-3B82-49A9-8C39-3B6F9E319925}"/>
    <cellStyle name="Nota 2 8 2 2 2 5 3" xfId="7472" xr:uid="{CFB12E83-C567-481C-AFD6-CA88487188EB}"/>
    <cellStyle name="Nota 2 8 2 2 2 5 4" xfId="8716" xr:uid="{9B5066F9-DFA7-45CF-889F-B6D291CC8A1F}"/>
    <cellStyle name="Nota 2 8 2 2 2 6" xfId="1515" xr:uid="{3BDAF512-30A2-41B7-BEB7-AC6584356CDA}"/>
    <cellStyle name="Nota 2 8 2 2 2 7" xfId="3831" xr:uid="{816F85E5-C7D2-4F23-A9CF-AB64CBC574C8}"/>
    <cellStyle name="Nota 2 8 2 2 2 8" xfId="5906" xr:uid="{A77EF033-C001-451F-B861-A9D3D47EC443}"/>
    <cellStyle name="Nota 2 8 2 2 2 9" xfId="7662" xr:uid="{28EA4E53-2913-4EC5-8BE9-7EEE48B15AFA}"/>
    <cellStyle name="Nota 2 8 2 2 3" xfId="739" xr:uid="{2174ADE3-4095-4162-ADD2-BAB27F230757}"/>
    <cellStyle name="Nota 2 8 2 2 3 2" xfId="2197" xr:uid="{06D1CAF2-0E4A-42BF-B29B-E9CDB613B23D}"/>
    <cellStyle name="Nota 2 8 2 2 3 2 2" xfId="4511" xr:uid="{DEB43488-0397-479A-8D56-B602CF0E20DC}"/>
    <cellStyle name="Nota 2 8 2 2 3 2 3" xfId="6533" xr:uid="{D2B2AED4-4DC0-4EBF-A65A-E3E10182D57D}"/>
    <cellStyle name="Nota 2 8 2 2 3 2 4" xfId="8079" xr:uid="{67695771-A7AA-494A-89FC-E33A15F2A61C}"/>
    <cellStyle name="Nota 2 8 2 2 3 3" xfId="2649" xr:uid="{9240C0A6-0E5C-4036-B18C-FED25864163D}"/>
    <cellStyle name="Nota 2 8 2 2 3 3 2" xfId="4963" xr:uid="{358AFE1E-4986-42E7-8F64-A8B5E01AE5DE}"/>
    <cellStyle name="Nota 2 8 2 2 3 3 3" xfId="6957" xr:uid="{38117EA8-400B-456C-8E4C-B940A11053A0}"/>
    <cellStyle name="Nota 2 8 2 2 3 3 4" xfId="8359" xr:uid="{E7771183-FAE0-4D18-B346-0CDB10D15A39}"/>
    <cellStyle name="Nota 2 8 2 2 3 4" xfId="3024" xr:uid="{8EFC1CD5-CA8C-4A8B-A5EE-1953727A10D7}"/>
    <cellStyle name="Nota 2 8 2 2 3 4 2" xfId="5338" xr:uid="{A10EA447-AEC4-40A7-ADFC-9498BA97020A}"/>
    <cellStyle name="Nota 2 8 2 2 3 4 3" xfId="7332" xr:uid="{68043C60-95A0-4266-9082-8D3D02D011F5}"/>
    <cellStyle name="Nota 2 8 2 2 3 4 4" xfId="8587" xr:uid="{22B65774-9DBE-45A5-9145-32B3F9EDB3E5}"/>
    <cellStyle name="Nota 2 8 2 2 3 5" xfId="3199" xr:uid="{7BD111D6-B841-4135-9A59-DCAB1157B85F}"/>
    <cellStyle name="Nota 2 8 2 2 3 5 2" xfId="5513" xr:uid="{3C5E2276-3770-4F4D-A2ED-940D32736D47}"/>
    <cellStyle name="Nota 2 8 2 2 3 5 3" xfId="7507" xr:uid="{A23093A8-AD9F-4BFF-8751-4762C5F6D952}"/>
    <cellStyle name="Nota 2 8 2 2 3 5 4" xfId="8751" xr:uid="{351251C2-99EF-4A87-A526-30483F75C2FE}"/>
    <cellStyle name="Nota 2 8 2 2 3 6" xfId="1587" xr:uid="{81494055-986F-4AC5-8F29-40CE96A1E9A5}"/>
    <cellStyle name="Nota 2 8 2 2 3 7" xfId="3903" xr:uid="{4E412B16-80D3-45D2-A4F5-3181A48F375C}"/>
    <cellStyle name="Nota 2 8 2 2 3 8" xfId="5970" xr:uid="{75D46484-6DBE-46AA-8D0F-CAD6FC4E2AFF}"/>
    <cellStyle name="Nota 2 8 2 2 3 9" xfId="7708" xr:uid="{6A91FF7D-7FF2-4FB4-BB52-5E39414BA558}"/>
    <cellStyle name="Nota 2 8 2 2 4" xfId="1794" xr:uid="{799984E8-3656-41E8-8CA7-B04632FEB0ED}"/>
    <cellStyle name="Nota 2 8 2 2 4 2" xfId="4108" xr:uid="{817BC961-1BB6-43BE-9E9F-262907F6D526}"/>
    <cellStyle name="Nota 2 8 2 2 4 3" xfId="6157" xr:uid="{0F9868C7-2E18-4097-8F60-852E3204D5D9}"/>
    <cellStyle name="Nota 2 8 2 2 4 4" xfId="7830" xr:uid="{2AFB659B-B3D5-4AA9-986E-B2798584A94B}"/>
    <cellStyle name="Nota 2 8 2 2 5" xfId="2252" xr:uid="{BF25809D-AD38-4943-8F4E-C305FF7B2F69}"/>
    <cellStyle name="Nota 2 8 2 2 5 2" xfId="4566" xr:uid="{FDE9ED67-B9B3-4C56-A784-80E65564FD2B}"/>
    <cellStyle name="Nota 2 8 2 2 5 3" xfId="6588" xr:uid="{83DC4130-FA93-4D3C-83EB-CDB89E98A6DD}"/>
    <cellStyle name="Nota 2 8 2 2 5 4" xfId="8112" xr:uid="{F90A6C99-D3C4-4DAB-81A7-7911D626CBC7}"/>
    <cellStyle name="Nota 2 8 2 2 6" xfId="2693" xr:uid="{9BDA0D31-F516-4EAC-8A11-3236D910BF52}"/>
    <cellStyle name="Nota 2 8 2 2 6 2" xfId="5007" xr:uid="{52C9DDFB-C141-4EA5-90F8-2C53684AACC9}"/>
    <cellStyle name="Nota 2 8 2 2 6 3" xfId="7001" xr:uid="{E1193D59-DFCE-4C33-AEDD-F23E7059B358}"/>
    <cellStyle name="Nota 2 8 2 2 6 4" xfId="8392" xr:uid="{639007EB-E249-430A-86F7-5B29F57BFC49}"/>
    <cellStyle name="Nota 2 8 2 2 7" xfId="2692" xr:uid="{E04DD3DA-3072-456F-9F50-C4F56F6C8400}"/>
    <cellStyle name="Nota 2 8 2 2 7 2" xfId="5006" xr:uid="{ED3744E7-5D29-45F5-96DF-274EADA137C6}"/>
    <cellStyle name="Nota 2 8 2 2 7 3" xfId="7000" xr:uid="{6C551640-43A0-44C9-9325-3D9532119A89}"/>
    <cellStyle name="Nota 2 8 2 2 7 4" xfId="8391" xr:uid="{61BB7F2E-6EBD-44C0-82D7-1D40534B737F}"/>
    <cellStyle name="Nota 2 8 2 2 8" xfId="1151" xr:uid="{9117E1B0-F43D-4B09-9B3F-F42495C67B44}"/>
    <cellStyle name="Nota 2 8 2 2 9" xfId="3497" xr:uid="{76CDAC8E-E87F-4791-86F0-A9359BCDD8CC}"/>
    <cellStyle name="Nota 2 8 2 3" xfId="477" xr:uid="{7C5743AE-6AC2-4F80-8485-0BCA68F29DD7}"/>
    <cellStyle name="Nota 2 8 2 3 2" xfId="1941" xr:uid="{143CED43-60CE-45B6-98EF-0BDA77807BCF}"/>
    <cellStyle name="Nota 2 8 2 3 2 2" xfId="4255" xr:uid="{841E20D5-52AA-4B97-826E-A73CDE5616CC}"/>
    <cellStyle name="Nota 2 8 2 3 2 3" xfId="6299" xr:uid="{4942058F-A05E-45DC-8181-A10F302851D3}"/>
    <cellStyle name="Nota 2 8 2 3 2 4" xfId="7916" xr:uid="{D89B2B7E-CE9C-45DC-9F4D-DF751C456535}"/>
    <cellStyle name="Nota 2 8 2 3 3" xfId="2396" xr:uid="{B2B8AE7C-0AC2-4345-B031-E7FA6BE677F8}"/>
    <cellStyle name="Nota 2 8 2 3 3 2" xfId="4710" xr:uid="{CCAA2576-06AD-4AC2-9765-34DBA6885F22}"/>
    <cellStyle name="Nota 2 8 2 3 3 3" xfId="6723" xr:uid="{348EB2D6-B683-4A2B-915A-00F2ED789B58}"/>
    <cellStyle name="Nota 2 8 2 3 3 4" xfId="8198" xr:uid="{90275CF0-BB4C-46CC-9304-7C51D8353265}"/>
    <cellStyle name="Nota 2 8 2 3 4" xfId="2805" xr:uid="{30D571B2-F37D-4025-A326-2249F185728A}"/>
    <cellStyle name="Nota 2 8 2 3 4 2" xfId="5119" xr:uid="{0E42793A-75C5-4819-8AFF-B6B2FFE5E4D4}"/>
    <cellStyle name="Nota 2 8 2 3 4 3" xfId="7113" xr:uid="{A0A6C23C-EDDC-410F-87B2-8A7B92A7962E}"/>
    <cellStyle name="Nota 2 8 2 3 4 4" xfId="8460" xr:uid="{BE1191EC-044F-4FC7-A85B-CF0DEFCB3B36}"/>
    <cellStyle name="Nota 2 8 2 3 5" xfId="3080" xr:uid="{FDE15C5D-29C9-4095-A62E-5E0FA083B631}"/>
    <cellStyle name="Nota 2 8 2 3 5 2" xfId="5394" xr:uid="{54C16AF8-0605-4BF8-8167-6E49CB8CBF3C}"/>
    <cellStyle name="Nota 2 8 2 3 5 3" xfId="7388" xr:uid="{81F8860E-3306-4AFA-A832-83677398BA74}"/>
    <cellStyle name="Nota 2 8 2 3 5 4" xfId="8632" xr:uid="{8B759C19-A7E6-4CF7-A288-393E1E318E3D}"/>
    <cellStyle name="Nota 2 8 2 3 6" xfId="1325" xr:uid="{767915FA-D5F4-40D1-A98C-4537B4E8CCBB}"/>
    <cellStyle name="Nota 2 8 2 3 7" xfId="3646" xr:uid="{4C30E5EC-E9D6-45B5-B949-8B5C41A0F107}"/>
    <cellStyle name="Nota 2 8 2 3 8" xfId="5742" xr:uid="{B8C1F1C1-7D6F-4CD0-9BE6-E0D6BA1CFB1C}"/>
    <cellStyle name="Nota 2 8 2 3 9" xfId="7550" xr:uid="{4E9823BF-2018-4C49-8684-288D74BF627A}"/>
    <cellStyle name="Nota 2 8 2 4" xfId="2259" xr:uid="{A759D1E4-89D1-4C1F-9061-D638C7991AC1}"/>
    <cellStyle name="Nota 2 8 2 4 2" xfId="4573" xr:uid="{D4312DED-1089-4A59-BF64-4FE51F24222D}"/>
    <cellStyle name="Nota 2 8 2 4 3" xfId="6595" xr:uid="{D9F67E78-4969-46C3-9EA8-3CFD6CDDB52D}"/>
    <cellStyle name="Nota 2 8 2 4 4" xfId="8117" xr:uid="{0676FA44-C03B-445A-8E41-3C6635E0FF3D}"/>
    <cellStyle name="Nota 2 8 2 5" xfId="1014" xr:uid="{B1CCED35-C7F2-4B29-B115-A4550178D02C}"/>
    <cellStyle name="Nota 2 8 2 6" xfId="3382" xr:uid="{3EA26521-D331-4740-87E3-D890F5B5F7FA}"/>
    <cellStyle name="Nota 2 8 2 7" xfId="816" xr:uid="{37C33852-8646-43C2-8A2E-4F4AFACDFC6E}"/>
    <cellStyle name="Nota 2 8 2 8" xfId="775" xr:uid="{805D9099-29C9-4942-BAA7-9EA4898D57EA}"/>
    <cellStyle name="Nota 2 8 3" xfId="234" xr:uid="{99AC7ECD-413D-48B2-8F76-D769395A4E93}"/>
    <cellStyle name="Nota 2 8 3 10" xfId="3439" xr:uid="{85EFC61D-FE1D-4D8F-AD56-BE84FE93949C}"/>
    <cellStyle name="Nota 2 8 3 11" xfId="5565" xr:uid="{7EAAA14C-FB14-4C25-B5B6-9B4F4AB6FDDC}"/>
    <cellStyle name="Nota 2 8 3 12" xfId="5739" xr:uid="{7B743505-D611-40D9-9A64-64A50D36A551}"/>
    <cellStyle name="Nota 2 8 3 2" xfId="620" xr:uid="{CD4F8BBE-12E1-4757-8E81-236CCF6DA417}"/>
    <cellStyle name="Nota 2 8 3 2 2" xfId="2078" xr:uid="{1F77BC06-0744-4921-9D11-80F36A16D138}"/>
    <cellStyle name="Nota 2 8 3 2 2 2" xfId="4392" xr:uid="{803AAE3E-1A81-4D96-A803-1D5940E23B37}"/>
    <cellStyle name="Nota 2 8 3 2 2 3" xfId="6432" xr:uid="{D4057E28-534B-49B0-A79F-3BD03E11623B}"/>
    <cellStyle name="Nota 2 8 3 2 2 4" xfId="7990" xr:uid="{09C7E0C3-1848-4AE5-85DF-8D4C9069DBC1}"/>
    <cellStyle name="Nota 2 8 3 2 3" xfId="2530" xr:uid="{8DFAA428-0088-4340-8337-44DDD1BC2A5E}"/>
    <cellStyle name="Nota 2 8 3 2 3 2" xfId="4844" xr:uid="{DA877076-C9EF-448A-9D10-E8040B7E9A0A}"/>
    <cellStyle name="Nota 2 8 3 2 3 3" xfId="6853" xr:uid="{B439F0AB-6633-4202-AA5B-512465DC7B0D}"/>
    <cellStyle name="Nota 2 8 3 2 3 4" xfId="8270" xr:uid="{7784FC99-15D6-4E5A-B193-B6C672D925E5}"/>
    <cellStyle name="Nota 2 8 3 2 4" xfId="2932" xr:uid="{26ABAA2D-973B-4889-B3F1-8DC72C17B382}"/>
    <cellStyle name="Nota 2 8 3 2 4 2" xfId="5246" xr:uid="{D32E18A7-125E-4D21-9EAF-FF050C3608F7}"/>
    <cellStyle name="Nota 2 8 3 2 4 3" xfId="7240" xr:uid="{6117DC7B-DDBF-4826-A40F-6FE458DEACB0}"/>
    <cellStyle name="Nota 2 8 3 2 4 4" xfId="8525" xr:uid="{BBBE9420-E584-42E7-B853-5C5B39A44855}"/>
    <cellStyle name="Nota 2 8 3 2 5" xfId="3139" xr:uid="{AF577C24-8142-412A-8177-81528A72AC36}"/>
    <cellStyle name="Nota 2 8 3 2 5 2" xfId="5453" xr:uid="{D72EB007-F465-482E-917B-59C2E254BBF2}"/>
    <cellStyle name="Nota 2 8 3 2 5 3" xfId="7447" xr:uid="{92564059-4FA9-4639-B07C-B2B02A50995B}"/>
    <cellStyle name="Nota 2 8 3 2 5 4" xfId="8691" xr:uid="{ED38D6B0-11AB-419F-9B1A-09C1ECC470B1}"/>
    <cellStyle name="Nota 2 8 3 2 6" xfId="1468" xr:uid="{820EEA86-486A-4DC4-BCD7-A32F9092B017}"/>
    <cellStyle name="Nota 2 8 3 2 7" xfId="3784" xr:uid="{50747F34-FF05-4D66-9867-E892F90DEBF9}"/>
    <cellStyle name="Nota 2 8 3 2 8" xfId="5872" xr:uid="{CF2494C9-ECB8-430A-928D-EE20B1FBA94A}"/>
    <cellStyle name="Nota 2 8 3 2 9" xfId="7619" xr:uid="{AC6E85DA-3AC0-46BC-8D18-CA62D8B5686B}"/>
    <cellStyle name="Nota 2 8 3 3" xfId="697" xr:uid="{0EA4082C-9EBE-4DF5-8E5E-2051453BA43E}"/>
    <cellStyle name="Nota 2 8 3 3 2" xfId="2155" xr:uid="{0A5888EB-DFBF-427B-B21F-1E0CBD6AF7BE}"/>
    <cellStyle name="Nota 2 8 3 3 2 2" xfId="4469" xr:uid="{636EBFCC-486B-4B78-A891-EFD00259A48A}"/>
    <cellStyle name="Nota 2 8 3 3 2 3" xfId="6491" xr:uid="{8766609B-9EC8-4454-B9CD-883FB85AFCA5}"/>
    <cellStyle name="Nota 2 8 3 3 2 4" xfId="8058" xr:uid="{8FB2B8A2-6FE4-4843-B000-2F6FC10A57B5}"/>
    <cellStyle name="Nota 2 8 3 3 3" xfId="2607" xr:uid="{31E82A39-168B-4726-9B36-69FE598C6808}"/>
    <cellStyle name="Nota 2 8 3 3 3 2" xfId="4921" xr:uid="{2921265F-A1E5-4615-91AD-BB9FFCF6724C}"/>
    <cellStyle name="Nota 2 8 3 3 3 3" xfId="6915" xr:uid="{45E3E74E-FBC0-499D-AEF6-31D617F61C8A}"/>
    <cellStyle name="Nota 2 8 3 3 3 4" xfId="8338" xr:uid="{455F0DAC-624E-4ED7-BE41-D3D8D03028B8}"/>
    <cellStyle name="Nota 2 8 3 3 4" xfId="2982" xr:uid="{BD42ACCF-A6A2-4A24-9976-BD8ED6A4DF98}"/>
    <cellStyle name="Nota 2 8 3 3 4 2" xfId="5296" xr:uid="{D587363B-CB2F-47DE-9A5E-52980D30D0A4}"/>
    <cellStyle name="Nota 2 8 3 3 4 3" xfId="7290" xr:uid="{FB542C2D-4438-49D4-B88E-F6EBEE5840CE}"/>
    <cellStyle name="Nota 2 8 3 3 4 4" xfId="8566" xr:uid="{0476C33E-AB78-45AC-B5A6-0BBA9BF23EB2}"/>
    <cellStyle name="Nota 2 8 3 3 5" xfId="3178" xr:uid="{D4A420BB-321C-46CC-80C0-C0BF0AE3F77A}"/>
    <cellStyle name="Nota 2 8 3 3 5 2" xfId="5492" xr:uid="{C6D6F182-DDCC-4A00-8BFC-F1BF1237DFC9}"/>
    <cellStyle name="Nota 2 8 3 3 5 3" xfId="7486" xr:uid="{3DD37C66-61EA-4D9D-95D4-AC57641E21DE}"/>
    <cellStyle name="Nota 2 8 3 3 5 4" xfId="8730" xr:uid="{3EAECF5D-EF9A-4D97-819E-DEE2018A5CAF}"/>
    <cellStyle name="Nota 2 8 3 3 6" xfId="1545" xr:uid="{D8BFCA77-5027-4C21-95AA-2E4AFE1FEDEB}"/>
    <cellStyle name="Nota 2 8 3 3 7" xfId="3861" xr:uid="{636E3C7A-DF1A-4210-9697-6F4231182428}"/>
    <cellStyle name="Nota 2 8 3 3 8" xfId="5928" xr:uid="{2E3B69EF-FF9D-4348-9290-471CE740B4E3}"/>
    <cellStyle name="Nota 2 8 3 3 9" xfId="7687" xr:uid="{4A2A1FFB-9872-46AA-9964-1A54671F1491}"/>
    <cellStyle name="Nota 2 8 3 4" xfId="513" xr:uid="{062CF4E7-CB3F-46CA-89A1-CE7D3D709CBF}"/>
    <cellStyle name="Nota 2 8 3 4 2" xfId="1972" xr:uid="{A2D9245F-642F-42EA-94DA-9F5484BD7116}"/>
    <cellStyle name="Nota 2 8 3 4 2 2" xfId="4286" xr:uid="{AE5D5528-D453-48EA-91D9-0DD3D7085FF4}"/>
    <cellStyle name="Nota 2 8 3 4 2 3" xfId="6327" xr:uid="{5B3C8E33-E57E-406F-82A0-A184E21D4D2D}"/>
    <cellStyle name="Nota 2 8 3 4 2 4" xfId="7939" xr:uid="{822A6229-FA08-4FD9-8F8E-9877B55B677A}"/>
    <cellStyle name="Nota 2 8 3 4 3" xfId="2423" xr:uid="{3A142447-A14E-4BB0-89A1-EFE050F2D7FD}"/>
    <cellStyle name="Nota 2 8 3 4 3 2" xfId="4737" xr:uid="{3A5AAB01-4FC3-4BCF-9C76-690BF53587E8}"/>
    <cellStyle name="Nota 2 8 3 4 3 3" xfId="6747" xr:uid="{65E30E10-55ED-4071-B86E-A5BF86E972DE}"/>
    <cellStyle name="Nota 2 8 3 4 3 4" xfId="8218" xr:uid="{62EBD4E9-BFAD-4EAA-8E95-A48C2AFCC0FD}"/>
    <cellStyle name="Nota 2 8 3 4 4" xfId="2828" xr:uid="{6B5B3393-180D-48F7-9E97-FA158CE3A019}"/>
    <cellStyle name="Nota 2 8 3 4 4 2" xfId="5142" xr:uid="{A616765C-8F3D-427F-9F87-F44F58A23944}"/>
    <cellStyle name="Nota 2 8 3 4 4 3" xfId="7136" xr:uid="{E3D3F082-6A08-4CF2-86F8-0E5002C5C9E9}"/>
    <cellStyle name="Nota 2 8 3 4 4 4" xfId="8476" xr:uid="{032F20B6-7345-47E7-8BB5-6FC8D150EDFA}"/>
    <cellStyle name="Nota 2 8 3 4 5" xfId="3091" xr:uid="{96929BC8-FD20-48D0-8EDD-8B921BC42A8B}"/>
    <cellStyle name="Nota 2 8 3 4 5 2" xfId="5405" xr:uid="{69A9F13F-BA53-4363-8D8E-0680598C5712}"/>
    <cellStyle name="Nota 2 8 3 4 5 3" xfId="7399" xr:uid="{A25EC80E-CD7F-4579-AEA5-AD83E455FFBD}"/>
    <cellStyle name="Nota 2 8 3 4 5 4" xfId="8643" xr:uid="{D5F38992-1567-41E5-8274-99A0EA425CC2}"/>
    <cellStyle name="Nota 2 8 3 4 6" xfId="1361" xr:uid="{0832186C-70F9-4ACB-A4C1-5505A5871CA2}"/>
    <cellStyle name="Nota 2 8 3 4 7" xfId="3677" xr:uid="{FCFED65E-4FEB-47F7-AC63-71E93C4F3D3F}"/>
    <cellStyle name="Nota 2 8 3 4 8" xfId="5767" xr:uid="{ED2B8336-D7AA-48D0-8038-54D6BA3F5412}"/>
    <cellStyle name="Nota 2 8 3 4 9" xfId="7568" xr:uid="{14504A14-21FF-4598-B24D-424BA4172CC8}"/>
    <cellStyle name="Nota 2 8 3 5" xfId="1736" xr:uid="{C60958F2-0AE1-4D90-8ABD-A2DD74CAD4B0}"/>
    <cellStyle name="Nota 2 8 3 5 2" xfId="4050" xr:uid="{6473CF01-2BD1-432B-A613-321612F2DB68}"/>
    <cellStyle name="Nota 2 8 3 5 3" xfId="6102" xr:uid="{ED0F8C49-1319-4E9D-A85B-99627AFC7BC4}"/>
    <cellStyle name="Nota 2 8 3 5 4" xfId="7794" xr:uid="{31FB4E4A-9FF5-4B77-91B6-9CF227BB6359}"/>
    <cellStyle name="Nota 2 8 3 6" xfId="1885" xr:uid="{F82D8E5C-BDFA-4C5E-A5DE-7F5D03981699}"/>
    <cellStyle name="Nota 2 8 3 6 2" xfId="4199" xr:uid="{70BE916D-66A0-4B64-9B71-E725727B6E02}"/>
    <cellStyle name="Nota 2 8 3 6 3" xfId="6245" xr:uid="{B623FBA6-2C76-4941-9688-CA77378DDE13}"/>
    <cellStyle name="Nota 2 8 3 6 4" xfId="7880" xr:uid="{7E7E8AE1-104F-4120-8C00-CE97AED2034F}"/>
    <cellStyle name="Nota 2 8 3 7" xfId="2312" xr:uid="{89C65F08-7418-48BB-9074-9DD1C678AAA8}"/>
    <cellStyle name="Nota 2 8 3 7 2" xfId="4626" xr:uid="{85E4A962-E061-4B01-9C85-F727DFB4FF8C}"/>
    <cellStyle name="Nota 2 8 3 7 3" xfId="6647" xr:uid="{8E9644BC-81D5-4B90-B876-8AA37F1A6886}"/>
    <cellStyle name="Nota 2 8 3 7 4" xfId="8139" xr:uid="{BE8A261F-CE28-47CE-8C35-65657EF66CEC}"/>
    <cellStyle name="Nota 2 8 3 8" xfId="2690" xr:uid="{93EAAEC4-9584-439F-8598-404EDB0E0EE7}"/>
    <cellStyle name="Nota 2 8 3 8 2" xfId="5004" xr:uid="{EC49AD8A-20A1-488B-A548-BEB9FACB5001}"/>
    <cellStyle name="Nota 2 8 3 8 3" xfId="6998" xr:uid="{1D6B9CD3-EEDF-443D-8A7C-98680A84DBB7}"/>
    <cellStyle name="Nota 2 8 3 8 4" xfId="8389" xr:uid="{5E8FE00B-0D46-4C19-ACC3-9E7C9203B7BC}"/>
    <cellStyle name="Nota 2 8 3 9" xfId="1082" xr:uid="{2EABD888-B35D-4878-A335-654EECFB95BD}"/>
    <cellStyle name="Nota 2 8 4" xfId="406" xr:uid="{497683CA-B410-4965-AC47-F22051AFB76F}"/>
    <cellStyle name="Nota 2 8 4 2" xfId="1883" xr:uid="{B96FBE97-EE44-4595-9275-9C4CE4DEF8EE}"/>
    <cellStyle name="Nota 2 8 4 2 2" xfId="4197" xr:uid="{D819AC88-0A8D-43DC-BABA-2DC41C448CAE}"/>
    <cellStyle name="Nota 2 8 4 2 3" xfId="6243" xr:uid="{15FFAA4E-D529-4C00-843B-1ABB8436118B}"/>
    <cellStyle name="Nota 2 8 4 2 4" xfId="7879" xr:uid="{B16A31EC-312C-4EC7-9423-46FFC30E8788}"/>
    <cellStyle name="Nota 2 8 4 3" xfId="2341" xr:uid="{27713118-2CEA-4EAA-B5BE-13E8E05DDFEA}"/>
    <cellStyle name="Nota 2 8 4 3 2" xfId="4655" xr:uid="{FFE3DEC3-3525-4F28-BC61-4F414E2090FA}"/>
    <cellStyle name="Nota 2 8 4 3 3" xfId="6670" xr:uid="{55E55135-753B-4655-BA0F-296A4E4DA0DB}"/>
    <cellStyle name="Nota 2 8 4 3 4" xfId="8161" xr:uid="{285AF73A-7B4B-4EF8-BA72-1FB43D1DF216}"/>
    <cellStyle name="Nota 2 8 4 4" xfId="2756" xr:uid="{AE03CE77-AA7D-4914-8B90-5988195ADBD5}"/>
    <cellStyle name="Nota 2 8 4 4 2" xfId="5070" xr:uid="{F04851E6-0658-41D9-B624-DE97A2E80D06}"/>
    <cellStyle name="Nota 2 8 4 4 3" xfId="7064" xr:uid="{639BFE16-560F-4A2E-93ED-EFE04F2BA7E9}"/>
    <cellStyle name="Nota 2 8 4 4 4" xfId="8429" xr:uid="{44E5A934-8134-4C87-AF0F-69B91B45A3FF}"/>
    <cellStyle name="Nota 2 8 4 5" xfId="3057" xr:uid="{7C328D32-6FA4-427A-9342-D8AB081163DE}"/>
    <cellStyle name="Nota 2 8 4 5 2" xfId="5371" xr:uid="{416D6790-D4D6-48B5-B9D3-44C7ECD8D4A9}"/>
    <cellStyle name="Nota 2 8 4 5 3" xfId="7365" xr:uid="{3E250490-8102-48A9-B45C-BF7B3D4E21A2}"/>
    <cellStyle name="Nota 2 8 4 5 4" xfId="8609" xr:uid="{1C222264-093A-4545-A25E-4590262CB1BB}"/>
    <cellStyle name="Nota 2 8 4 6" xfId="1254" xr:uid="{D1072CE6-71C3-4133-8C14-D77C7420D845}"/>
    <cellStyle name="Nota 2 8 4 7" xfId="3583" xr:uid="{8BAD0D99-543A-449C-906D-F0F66C7CADAC}"/>
    <cellStyle name="Nota 2 8 4 8" xfId="5692" xr:uid="{06CE4FA6-4299-4AD9-A604-9983DF6205D6}"/>
    <cellStyle name="Nota 2 8 4 9" xfId="7524" xr:uid="{34C249DB-E076-4710-87F3-4CAD9272E4F9}"/>
    <cellStyle name="Nota 2 8 5" xfId="555" xr:uid="{F80EA96E-D4D1-457A-AC01-9395479A573D}"/>
    <cellStyle name="Nota 2 8 5 2" xfId="2013" xr:uid="{5D3C3346-A10C-4531-9851-EE838654BE63}"/>
    <cellStyle name="Nota 2 8 5 2 2" xfId="4327" xr:uid="{2FDB4552-FDF0-453C-AC06-4C38E6DE877D}"/>
    <cellStyle name="Nota 2 8 5 2 3" xfId="6368" xr:uid="{CEB2F013-7861-4DE2-9BBD-FE34B1700398}"/>
    <cellStyle name="Nota 2 8 5 2 4" xfId="7950" xr:uid="{45AFF777-F874-4F77-A795-72012B889D1C}"/>
    <cellStyle name="Nota 2 8 5 3" xfId="2465" xr:uid="{5A8961AF-2E38-4CA0-AAF0-41E68D8F9475}"/>
    <cellStyle name="Nota 2 8 5 3 2" xfId="4779" xr:uid="{A30AD350-3744-4EC4-9397-CCE4C6362F12}"/>
    <cellStyle name="Nota 2 8 5 3 3" xfId="6789" xr:uid="{17D09BBE-3CC5-4610-A9C1-081094A49AD0}"/>
    <cellStyle name="Nota 2 8 5 3 4" xfId="8230" xr:uid="{93B29FD2-DE6A-4D45-B07D-7F17EBCF4545}"/>
    <cellStyle name="Nota 2 8 5 4" xfId="2870" xr:uid="{D8EF25D3-401C-4A04-B041-8C930913ED99}"/>
    <cellStyle name="Nota 2 8 5 4 2" xfId="5184" xr:uid="{C21D74BA-2A5C-4691-BBC9-238B2423C0F9}"/>
    <cellStyle name="Nota 2 8 5 4 3" xfId="7178" xr:uid="{6BDE41F6-AAF5-45CA-86A4-48710BC9903E}"/>
    <cellStyle name="Nota 2 8 5 4 4" xfId="8488" xr:uid="{C85F09BF-DBDD-41FB-B8AD-F7A19C8671E8}"/>
    <cellStyle name="Nota 2 8 5 5" xfId="3102" xr:uid="{98A43F89-305F-4F79-BB1E-17D191CAA1AD}"/>
    <cellStyle name="Nota 2 8 5 5 2" xfId="5416" xr:uid="{C77F94EB-2514-4A23-88F6-43FDC17D0532}"/>
    <cellStyle name="Nota 2 8 5 5 3" xfId="7410" xr:uid="{C4B587EA-C7F4-47CD-9DB9-BF3836608CBA}"/>
    <cellStyle name="Nota 2 8 5 5 4" xfId="8654" xr:uid="{2E8C5DBE-D260-40C6-B5E7-7C4072A2ED06}"/>
    <cellStyle name="Nota 2 8 5 6" xfId="1403" xr:uid="{69C11DF7-4AE8-4393-8856-52E2E739BCE2}"/>
    <cellStyle name="Nota 2 8 5 7" xfId="3719" xr:uid="{46B58770-8392-41E8-BE38-21E04C6B8B5D}"/>
    <cellStyle name="Nota 2 8 5 8" xfId="5809" xr:uid="{0EBC238C-9977-498C-8996-840A77D4A4CF}"/>
    <cellStyle name="Nota 2 8 5 9" xfId="7579" xr:uid="{6D0931C3-AB25-4271-8629-AA18123B0D88}"/>
    <cellStyle name="Nota 2 8 6" xfId="336" xr:uid="{734D86F2-0C64-413C-80CA-2164C2CA114B}"/>
    <cellStyle name="Nota 2 8 6 2" xfId="1823" xr:uid="{8047AB34-61F3-4C10-9C11-E5DD279D7F92}"/>
    <cellStyle name="Nota 2 8 6 2 2" xfId="4137" xr:uid="{55BFAAF6-8599-42BB-AB6D-14812E1AEDEF}"/>
    <cellStyle name="Nota 2 8 6 2 3" xfId="6186" xr:uid="{A3B4EF3A-603B-4627-BEBF-42C4722AC58D}"/>
    <cellStyle name="Nota 2 8 6 2 4" xfId="7845" xr:uid="{A8255069-3BCB-4186-9BC1-AA2B9028B83F}"/>
    <cellStyle name="Nota 2 8 6 3" xfId="2278" xr:uid="{2FA883FA-4541-4D18-98DF-3D5A56E209D6}"/>
    <cellStyle name="Nota 2 8 6 3 2" xfId="4592" xr:uid="{C3A70C1E-589E-4377-9A24-7D8FC16F1BF2}"/>
    <cellStyle name="Nota 2 8 6 3 3" xfId="6614" xr:uid="{953E8F4D-4ED1-48D9-B561-BA1F4CE3DEC3}"/>
    <cellStyle name="Nota 2 8 6 3 4" xfId="8127" xr:uid="{CE9530BD-A12E-41DD-8A06-4CD8EC906292}"/>
    <cellStyle name="Nota 2 8 6 4" xfId="2708" xr:uid="{19293992-CBBC-4C08-AF2F-B6BDF98AD70C}"/>
    <cellStyle name="Nota 2 8 6 4 2" xfId="5022" xr:uid="{C479FAD5-938D-48F6-A33D-D135B3AF5AB8}"/>
    <cellStyle name="Nota 2 8 6 4 3" xfId="7016" xr:uid="{A3EAD9DF-07CF-4DDE-99D7-3C4E69599416}"/>
    <cellStyle name="Nota 2 8 6 4 4" xfId="8407" xr:uid="{C92FE3DD-0314-4B65-85BE-B63C120BAD08}"/>
    <cellStyle name="Nota 2 8 6 5" xfId="3048" xr:uid="{A9DE38C6-8AAE-4E1E-A171-4AE9842E1BF1}"/>
    <cellStyle name="Nota 2 8 6 5 2" xfId="5362" xr:uid="{45AC954A-C186-4EC4-8890-689F3801797D}"/>
    <cellStyle name="Nota 2 8 6 5 3" xfId="7356" xr:uid="{7A530AA5-2C14-4C66-9AE7-292D11C7D23A}"/>
    <cellStyle name="Nota 2 8 6 5 4" xfId="8600" xr:uid="{53E0EAA0-1F14-441B-907D-95D3FB60628A}"/>
    <cellStyle name="Nota 2 8 6 6" xfId="1184" xr:uid="{265099C2-9B02-4B1D-9396-4EE4D5A8EAD6}"/>
    <cellStyle name="Nota 2 8 6 7" xfId="3522" xr:uid="{BEF1DF8F-539E-4B58-A55A-0E81B41C2D2F}"/>
    <cellStyle name="Nota 2 8 6 8" xfId="5642" xr:uid="{DF1F0C82-6BA8-4CC3-8F51-C4B9CDB7BD7F}"/>
    <cellStyle name="Nota 2 8 6 9" xfId="5614" xr:uid="{12465EAC-AA8E-4DE7-A2E3-38646D08DB40}"/>
    <cellStyle name="Nota 2 8 7" xfId="944" xr:uid="{8FD341F7-91BB-4053-A4DB-45CAB26EEEAE}"/>
    <cellStyle name="Nota 2 8 7 2" xfId="3325" xr:uid="{54385CD5-E8B7-440A-A3D1-A3CCE57E637A}"/>
    <cellStyle name="Nota 2 8 7 3" xfId="3580" xr:uid="{B3EF98F7-50D4-4EDD-B36A-D7404D52D594}"/>
    <cellStyle name="Nota 2 8 7 4" xfId="6254" xr:uid="{AC937CD7-0D33-45A5-867C-3FC7AE2508A5}"/>
    <cellStyle name="Nota 2 8 8" xfId="1635" xr:uid="{B35E523E-4909-46A7-89BD-F4472E6433AC}"/>
    <cellStyle name="Nota 2 8 8 2" xfId="3949" xr:uid="{5F7CC3CA-82C9-45D0-895E-A7D81B452E35}"/>
    <cellStyle name="Nota 2 8 8 3" xfId="6009" xr:uid="{2EB08330-932D-4556-81D1-97C5A79053F2}"/>
    <cellStyle name="Nota 2 8 8 4" xfId="7732" xr:uid="{81A1469A-68A7-4330-A068-83663C673693}"/>
    <cellStyle name="Nota 2 8 9" xfId="1857" xr:uid="{B7D0E8A1-806E-4090-A581-BDC8519361BC}"/>
    <cellStyle name="Nota 2 8 9 2" xfId="4171" xr:uid="{9F9671D0-1761-4FF3-A480-2282526C959A}"/>
    <cellStyle name="Nota 2 8 9 3" xfId="6219" xr:uid="{3F246306-7529-4A42-8B03-BDBE11D487FC}"/>
    <cellStyle name="Nota 2 8 9 4" xfId="7858" xr:uid="{91B7D2A8-7572-4E20-B5A5-5F75E2C053D0}"/>
    <cellStyle name="Nota 2 9" xfId="136" xr:uid="{0E048A5D-20D7-43FD-AF22-507879708ECC}"/>
    <cellStyle name="Nota 2 9 10" xfId="802" xr:uid="{9CDB128D-FCF8-4569-A403-63385124B312}"/>
    <cellStyle name="Nota 2 9 11" xfId="763" xr:uid="{4F6B300C-7806-4C28-A788-10AAE708FF6F}"/>
    <cellStyle name="Nota 2 9 12" xfId="785" xr:uid="{E1F9D52D-92C6-4CA8-8148-06C60D4828DD}"/>
    <cellStyle name="Nota 2 9 13" xfId="5887" xr:uid="{77BB172B-8CDC-4752-AF25-D2F856BFE0F5}"/>
    <cellStyle name="Nota 2 9 2" xfId="275" xr:uid="{E0481816-A561-4559-8FBD-69314C54073C}"/>
    <cellStyle name="Nota 2 9 2 10" xfId="5594" xr:uid="{14592BC1-4FFC-48F4-9ED6-6FC9CADC921A}"/>
    <cellStyle name="Nota 2 9 2 11" xfId="767" xr:uid="{0A0B1A4A-CDDC-4A01-981E-E084CC934747}"/>
    <cellStyle name="Nota 2 9 2 2" xfId="646" xr:uid="{EF0224AA-2CF9-4198-93DD-C921303D016D}"/>
    <cellStyle name="Nota 2 9 2 2 2" xfId="2104" xr:uid="{AEDE526A-1031-4E39-BB31-D73542F3A81E}"/>
    <cellStyle name="Nota 2 9 2 2 2 2" xfId="4418" xr:uid="{473CB269-965D-43A1-BFC7-411815CDD371}"/>
    <cellStyle name="Nota 2 9 2 2 2 3" xfId="6452" xr:uid="{3FF46C86-F7B5-4B75-9F6E-188E3B546C64}"/>
    <cellStyle name="Nota 2 9 2 2 2 4" xfId="8013" xr:uid="{F38159D1-C399-478C-940C-846E6DFC813D}"/>
    <cellStyle name="Nota 2 9 2 2 3" xfId="2556" xr:uid="{0A43B49D-484D-4782-B419-88C4CCD1E55C}"/>
    <cellStyle name="Nota 2 9 2 2 3 2" xfId="4870" xr:uid="{E9790436-685B-4A34-8EB2-9AD5094B3B1F}"/>
    <cellStyle name="Nota 2 9 2 2 3 3" xfId="6872" xr:uid="{7BFF299A-E6F9-4255-88F0-DB9126751231}"/>
    <cellStyle name="Nota 2 9 2 2 3 4" xfId="8293" xr:uid="{B4629BB4-6957-45EF-9333-898B57104C68}"/>
    <cellStyle name="Nota 2 9 2 2 4" xfId="2949" xr:uid="{B0523B54-867C-4BE3-931A-EC8F5C852F74}"/>
    <cellStyle name="Nota 2 9 2 2 4 2" xfId="5263" xr:uid="{742A5407-0DEC-4FC0-BB44-7E2CEE9C6CAE}"/>
    <cellStyle name="Nota 2 9 2 2 4 3" xfId="7257" xr:uid="{BE72EA97-2FF6-48FA-AB82-033EAAC0EEBD}"/>
    <cellStyle name="Nota 2 9 2 2 4 4" xfId="8539" xr:uid="{2EBBAE54-DC4D-48DE-9F57-D5FBFD1F109A}"/>
    <cellStyle name="Nota 2 9 2 2 5" xfId="3152" xr:uid="{303666EA-DCCF-45D7-819B-AB34B31167A6}"/>
    <cellStyle name="Nota 2 9 2 2 5 2" xfId="5466" xr:uid="{2A7F1087-49E6-4C7A-B52A-3DDD8043D65A}"/>
    <cellStyle name="Nota 2 9 2 2 5 3" xfId="7460" xr:uid="{0591F228-986B-499C-AD9E-01D45731EC7A}"/>
    <cellStyle name="Nota 2 9 2 2 5 4" xfId="8704" xr:uid="{9809E267-FED9-4976-A6E5-1D95CC579439}"/>
    <cellStyle name="Nota 2 9 2 2 6" xfId="1494" xr:uid="{3814DC28-4ADF-4803-9A5C-07241F0E6A01}"/>
    <cellStyle name="Nota 2 9 2 2 7" xfId="3810" xr:uid="{3F20DC5A-9C6D-42E8-9E11-CF5594F8139D}"/>
    <cellStyle name="Nota 2 9 2 2 8" xfId="5891" xr:uid="{EB5E7ABB-231B-4F5A-BECD-3EEBCA9B3FB1}"/>
    <cellStyle name="Nota 2 9 2 2 9" xfId="7642" xr:uid="{893DA6A3-575C-4415-937E-68593D0A4CB9}"/>
    <cellStyle name="Nota 2 9 2 3" xfId="722" xr:uid="{4611904E-9AC6-43C4-B39B-68BFE4BC6AE8}"/>
    <cellStyle name="Nota 2 9 2 3 2" xfId="2180" xr:uid="{864A85D1-5304-442D-9552-F520B9666DE5}"/>
    <cellStyle name="Nota 2 9 2 3 2 2" xfId="4494" xr:uid="{3938F0C5-142C-45FE-B27D-CE0B91AFF912}"/>
    <cellStyle name="Nota 2 9 2 3 2 3" xfId="6516" xr:uid="{45F03DA4-7D41-401F-9247-43B477FBDC06}"/>
    <cellStyle name="Nota 2 9 2 3 2 4" xfId="8070" xr:uid="{30A4C0D6-E6EA-4FEA-B7DA-F6345CEB1553}"/>
    <cellStyle name="Nota 2 9 2 3 3" xfId="2632" xr:uid="{A34D85F9-CB2E-45AF-B45C-D18768E78913}"/>
    <cellStyle name="Nota 2 9 2 3 3 2" xfId="4946" xr:uid="{69495DF0-C1B3-476C-B559-2F5A1C192BD5}"/>
    <cellStyle name="Nota 2 9 2 3 3 3" xfId="6940" xr:uid="{AFFBAC7F-438C-4B25-B97C-58D4C94BB86F}"/>
    <cellStyle name="Nota 2 9 2 3 3 4" xfId="8350" xr:uid="{663AE6A3-06F8-45C4-85BF-C47093937B56}"/>
    <cellStyle name="Nota 2 9 2 3 4" xfId="3007" xr:uid="{FED52056-243C-4793-BE0C-38B0D64DBA0F}"/>
    <cellStyle name="Nota 2 9 2 3 4 2" xfId="5321" xr:uid="{38624557-99B7-47F5-BB70-C1DB898269D6}"/>
    <cellStyle name="Nota 2 9 2 3 4 3" xfId="7315" xr:uid="{01A21CF6-EECF-4A6C-BCAD-D42913379D30}"/>
    <cellStyle name="Nota 2 9 2 3 4 4" xfId="8578" xr:uid="{21BEEFA1-E96A-4D83-8FFC-80F60100B23C}"/>
    <cellStyle name="Nota 2 9 2 3 5" xfId="3190" xr:uid="{F575F2E7-8C7C-46D1-999C-C35523C6E0F5}"/>
    <cellStyle name="Nota 2 9 2 3 5 2" xfId="5504" xr:uid="{48CF12A9-DF55-4B35-A4B1-0B79480C7BE9}"/>
    <cellStyle name="Nota 2 9 2 3 5 3" xfId="7498" xr:uid="{BEE3A5EF-9828-40B0-A189-0EEA7B6EAA37}"/>
    <cellStyle name="Nota 2 9 2 3 5 4" xfId="8742" xr:uid="{2615BAFF-3D9C-4C31-8704-B06533F16E18}"/>
    <cellStyle name="Nota 2 9 2 3 6" xfId="1570" xr:uid="{71F2A2C1-0727-4F9D-9DB8-FC8E6E1822D6}"/>
    <cellStyle name="Nota 2 9 2 3 7" xfId="3886" xr:uid="{EBE3BCF5-843D-4101-94DE-2BA62BE7EB96}"/>
    <cellStyle name="Nota 2 9 2 3 8" xfId="5953" xr:uid="{DDEB72F2-B9EB-4102-B530-B2CAA4978F51}"/>
    <cellStyle name="Nota 2 9 2 3 9" xfId="7699" xr:uid="{2170D10C-5A9E-43AC-94E7-6762082FDFFE}"/>
    <cellStyle name="Nota 2 9 2 4" xfId="1769" xr:uid="{4CDF84B9-1016-4D83-9966-44212F796E0E}"/>
    <cellStyle name="Nota 2 9 2 4 2" xfId="4083" xr:uid="{D2376484-2004-4CB1-9A8C-3E685D90CF52}"/>
    <cellStyle name="Nota 2 9 2 4 3" xfId="6132" xr:uid="{82D86834-F8DB-446C-A170-4BF0ACCC8A3A}"/>
    <cellStyle name="Nota 2 9 2 4 4" xfId="7816" xr:uid="{39383AE8-ABF1-4945-9E50-579616E774BE}"/>
    <cellStyle name="Nota 2 9 2 5" xfId="2230" xr:uid="{4AE71EAA-7D3B-4733-BB5D-6EC03D411956}"/>
    <cellStyle name="Nota 2 9 2 5 2" xfId="4544" xr:uid="{3E3341C8-46F1-4C8C-A05C-677EFA08B9F8}"/>
    <cellStyle name="Nota 2 9 2 5 3" xfId="6566" xr:uid="{9880C783-F9FB-42DD-A945-2459428957FD}"/>
    <cellStyle name="Nota 2 9 2 5 4" xfId="8098" xr:uid="{449C9A57-55F5-4AF1-B120-7CEEC6883D77}"/>
    <cellStyle name="Nota 2 9 2 6" xfId="2677" xr:uid="{9BD79316-19AB-44FA-AC74-AA80D66B21AA}"/>
    <cellStyle name="Nota 2 9 2 6 2" xfId="4991" xr:uid="{C26D00D9-4806-4CB9-8443-99C5EE02203F}"/>
    <cellStyle name="Nota 2 9 2 6 3" xfId="6985" xr:uid="{95711926-61C4-4872-A8F6-E4020E1395B3}"/>
    <cellStyle name="Nota 2 9 2 6 4" xfId="8376" xr:uid="{994A5F82-28BC-4DB8-89C1-EBEEAE7E707E}"/>
    <cellStyle name="Nota 2 9 2 7" xfId="2691" xr:uid="{1E9A5A1F-2348-4088-934D-BE017DFA6A75}"/>
    <cellStyle name="Nota 2 9 2 7 2" xfId="5005" xr:uid="{3CCED3ED-AC7C-44AF-BC4E-89FD7552537D}"/>
    <cellStyle name="Nota 2 9 2 7 3" xfId="6999" xr:uid="{76844C7A-7373-4494-86F9-B3D2B90570A4}"/>
    <cellStyle name="Nota 2 9 2 7 4" xfId="8390" xr:uid="{23C48C0A-8BC2-4655-A658-5603C3EE7893}"/>
    <cellStyle name="Nota 2 9 2 8" xfId="1123" xr:uid="{E62BF0F1-BE20-4A28-97E7-FDA07074C875}"/>
    <cellStyle name="Nota 2 9 2 9" xfId="3475" xr:uid="{ABCE9D5D-7AFB-4F30-A8E5-AEE7CDD3CB8D}"/>
    <cellStyle name="Nota 2 9 3" xfId="447" xr:uid="{D681A6F9-B693-4D15-9265-C2C700C102CB}"/>
    <cellStyle name="Nota 2 9 3 2" xfId="1917" xr:uid="{19D4F81E-A749-44DE-8131-1DFBF754AA62}"/>
    <cellStyle name="Nota 2 9 3 2 2" xfId="4231" xr:uid="{727FFE7B-3A07-4287-BACC-83A5BD483ECA}"/>
    <cellStyle name="Nota 2 9 3 2 3" xfId="6276" xr:uid="{D3589BCE-C40C-4E36-91BD-112A1FF56574}"/>
    <cellStyle name="Nota 2 9 3 2 4" xfId="7901" xr:uid="{6FC909FD-CD53-46E7-B3BA-F009A89C0AB6}"/>
    <cellStyle name="Nota 2 9 3 3" xfId="2373" xr:uid="{01395932-311C-46FB-9AE3-15E5DB49640F}"/>
    <cellStyle name="Nota 2 9 3 3 2" xfId="4687" xr:uid="{D51813F9-75C5-4026-88F8-6A28C4429541}"/>
    <cellStyle name="Nota 2 9 3 3 3" xfId="6700" xr:uid="{45B86059-AC1E-43D1-8082-05DE05AC5CAA}"/>
    <cellStyle name="Nota 2 9 3 3 4" xfId="8183" xr:uid="{32DFE90E-E921-4EF1-B8E4-66914494D7BB}"/>
    <cellStyle name="Nota 2 9 3 4" xfId="2784" xr:uid="{957A4BFC-E75E-4772-819E-3AE8177C210A}"/>
    <cellStyle name="Nota 2 9 3 4 2" xfId="5098" xr:uid="{5D3294EB-E6B2-410C-967B-11758915ECA2}"/>
    <cellStyle name="Nota 2 9 3 4 3" xfId="7092" xr:uid="{9B0D8692-8580-402C-9E01-7A9A69C0533D}"/>
    <cellStyle name="Nota 2 9 3 4 4" xfId="8447" xr:uid="{DE31AE1C-00FC-4CB7-8EFA-3215271C09B2}"/>
    <cellStyle name="Nota 2 9 3 5" xfId="3069" xr:uid="{3676BAA2-9061-43D8-B063-329CAA7796EA}"/>
    <cellStyle name="Nota 2 9 3 5 2" xfId="5383" xr:uid="{E0E4FDA7-9227-420A-981D-A169BF1C327B}"/>
    <cellStyle name="Nota 2 9 3 5 3" xfId="7377" xr:uid="{2980CA7D-3A6C-4E68-9AB2-FFF2EB7BC903}"/>
    <cellStyle name="Nota 2 9 3 5 4" xfId="8621" xr:uid="{1B2F470D-CFB2-4C86-AAC6-4DC283C329A7}"/>
    <cellStyle name="Nota 2 9 3 6" xfId="1295" xr:uid="{09F9D4ED-BA2B-4537-B7C4-9A6CAD158D36}"/>
    <cellStyle name="Nota 2 9 3 7" xfId="3620" xr:uid="{0123A390-F3C3-4CDA-8B62-724DDC4B8DE6}"/>
    <cellStyle name="Nota 2 9 3 8" xfId="5719" xr:uid="{72861642-3BEE-4B00-8631-C9DADCF9D182}"/>
    <cellStyle name="Nota 2 9 3 9" xfId="7539" xr:uid="{CD62F239-4B29-4D38-9F4F-8F21C7D48701}"/>
    <cellStyle name="Nota 2 9 4" xfId="582" xr:uid="{61D6B8E8-7525-45D2-A554-EC8F64EF4D1F}"/>
    <cellStyle name="Nota 2 9 4 2" xfId="2040" xr:uid="{23B8FF1A-F3EE-4F3D-BDC7-EF6BF0A7ED8D}"/>
    <cellStyle name="Nota 2 9 4 2 2" xfId="4354" xr:uid="{F8B80402-EA5A-4C0F-AC47-70717091D192}"/>
    <cellStyle name="Nota 2 9 4 2 3" xfId="6395" xr:uid="{92FC8BBD-E125-4FEF-AB31-2A3EEB7CDA0D}"/>
    <cellStyle name="Nota 2 9 4 2 4" xfId="7965" xr:uid="{1C4B6508-88F3-44F1-9325-531AC2D27AC4}"/>
    <cellStyle name="Nota 2 9 4 3" xfId="2492" xr:uid="{4809DEB6-B165-45C8-9840-8A743A792B35}"/>
    <cellStyle name="Nota 2 9 4 3 2" xfId="4806" xr:uid="{687A8839-D6A9-42DB-9415-F0DACE8974C1}"/>
    <cellStyle name="Nota 2 9 4 3 3" xfId="6816" xr:uid="{C12B829A-3C07-4131-A661-39BFF98EF410}"/>
    <cellStyle name="Nota 2 9 4 3 4" xfId="8245" xr:uid="{8B1E620E-C987-4697-8044-2D483F594E2D}"/>
    <cellStyle name="Nota 2 9 4 4" xfId="2897" xr:uid="{79AD1E35-1D35-4854-8434-FCD69BC72D89}"/>
    <cellStyle name="Nota 2 9 4 4 2" xfId="5211" xr:uid="{19A14435-C4E3-49CE-875E-B915B1BC952A}"/>
    <cellStyle name="Nota 2 9 4 4 3" xfId="7205" xr:uid="{9346FE73-3F77-40FC-BDF4-DA16A470C6B6}"/>
    <cellStyle name="Nota 2 9 4 4 4" xfId="8503" xr:uid="{BFC37F43-5310-48FA-9EF0-3B7B2864E453}"/>
    <cellStyle name="Nota 2 9 4 5" xfId="3117" xr:uid="{30466E6A-A8CA-4A36-AE7D-CCFDFF5A0B81}"/>
    <cellStyle name="Nota 2 9 4 5 2" xfId="5431" xr:uid="{6116EFCC-C6B8-49FB-B6E3-D3A59832745A}"/>
    <cellStyle name="Nota 2 9 4 5 3" xfId="7425" xr:uid="{8F373F70-4C10-4973-A96B-9B48B6392496}"/>
    <cellStyle name="Nota 2 9 4 5 4" xfId="8669" xr:uid="{F7D91BD9-3BCB-4A66-A36F-99F4AC46F91E}"/>
    <cellStyle name="Nota 2 9 4 6" xfId="1430" xr:uid="{15AFFA87-5EE6-42EC-95EF-AB97E28E2E5B}"/>
    <cellStyle name="Nota 2 9 4 7" xfId="3746" xr:uid="{FCC131DF-C58B-41FD-BCA3-1BE96AC97D6D}"/>
    <cellStyle name="Nota 2 9 4 8" xfId="5836" xr:uid="{7C42826D-64AD-4D2E-ABE7-C4B4CE60166B}"/>
    <cellStyle name="Nota 2 9 4 9" xfId="7594" xr:uid="{4ACDEBAE-5004-4CA4-B5B1-BD3B42AF43B7}"/>
    <cellStyle name="Nota 2 9 5" xfId="571" xr:uid="{CB185604-492F-41AF-8312-2D9912C8ACE4}"/>
    <cellStyle name="Nota 2 9 5 2" xfId="2029" xr:uid="{B14EA7BD-F262-4F9F-88C7-04E49EADF370}"/>
    <cellStyle name="Nota 2 9 5 2 2" xfId="4343" xr:uid="{47A9320C-3195-491E-9EED-C31959123F3A}"/>
    <cellStyle name="Nota 2 9 5 2 3" xfId="6384" xr:uid="{6196784C-7510-42CE-84A3-E6C6D94C4A6F}"/>
    <cellStyle name="Nota 2 9 5 2 4" xfId="7961" xr:uid="{B83519C7-AFF9-4187-A452-91B8A728A3FB}"/>
    <cellStyle name="Nota 2 9 5 3" xfId="2481" xr:uid="{30A1D7E1-E7C8-4FF5-ADC4-C2A3D6ACEE54}"/>
    <cellStyle name="Nota 2 9 5 3 2" xfId="4795" xr:uid="{5688D85D-126E-4518-B244-EF2EFE762E52}"/>
    <cellStyle name="Nota 2 9 5 3 3" xfId="6805" xr:uid="{C0414084-2D0A-4A38-8F1C-30FAD84011E5}"/>
    <cellStyle name="Nota 2 9 5 3 4" xfId="8241" xr:uid="{FB77000E-F6BB-4DFF-B08F-9E79FD7171C3}"/>
    <cellStyle name="Nota 2 9 5 4" xfId="2886" xr:uid="{B31260F4-E386-43B6-9BEB-E9927EEEDDFA}"/>
    <cellStyle name="Nota 2 9 5 4 2" xfId="5200" xr:uid="{539F6339-0ADF-4F89-92A7-30450AB8BFD4}"/>
    <cellStyle name="Nota 2 9 5 4 3" xfId="7194" xr:uid="{ADA0DD9B-7A51-4E75-BCB0-1D170790D5BB}"/>
    <cellStyle name="Nota 2 9 5 4 4" xfId="8499" xr:uid="{543B3619-FDFA-4081-806E-65259683B4F7}"/>
    <cellStyle name="Nota 2 9 5 5" xfId="3113" xr:uid="{9A65D87B-D081-4E5E-99E0-B59CA8A9F69D}"/>
    <cellStyle name="Nota 2 9 5 5 2" xfId="5427" xr:uid="{C325AABA-EC98-44D0-9CAD-AF1F15418636}"/>
    <cellStyle name="Nota 2 9 5 5 3" xfId="7421" xr:uid="{840A18C1-F98F-4448-91E6-8C22A315D464}"/>
    <cellStyle name="Nota 2 9 5 5 4" xfId="8665" xr:uid="{6A160BD3-CAB9-4328-8DA4-ABA98B0C6A9D}"/>
    <cellStyle name="Nota 2 9 5 6" xfId="1419" xr:uid="{3C4138EA-6155-4452-99D8-84FC259BD239}"/>
    <cellStyle name="Nota 2 9 5 7" xfId="3735" xr:uid="{432E2619-2934-4426-B834-FFB6A3650889}"/>
    <cellStyle name="Nota 2 9 5 8" xfId="5825" xr:uid="{C63D2B16-5BEB-49F2-AA35-CF6F6CD5119A}"/>
    <cellStyle name="Nota 2 9 5 9" xfId="7590" xr:uid="{48E087AF-AA4A-450A-A9C4-E7576C6426A7}"/>
    <cellStyle name="Nota 2 9 6" xfId="986" xr:uid="{F5975763-46AE-4B6C-94DC-AD8BA5644756}"/>
    <cellStyle name="Nota 2 9 6 2" xfId="3359" xr:uid="{CEAD2A22-6EEF-402D-898B-D2A35304627A}"/>
    <cellStyle name="Nota 2 9 6 3" xfId="3279" xr:uid="{4D999017-96D1-4F68-9B75-B56A1DEBCE11}"/>
    <cellStyle name="Nota 2 9 6 4" xfId="3455" xr:uid="{A93DF949-653E-4B7E-BE99-9F2FC719061A}"/>
    <cellStyle name="Nota 2 9 7" xfId="1670" xr:uid="{0F7BB195-FAEF-456B-813B-95E8CAF878E4}"/>
    <cellStyle name="Nota 2 9 7 2" xfId="3984" xr:uid="{A9FD1218-D690-44BF-B824-2D768782FF86}"/>
    <cellStyle name="Nota 2 9 7 3" xfId="6040" xr:uid="{45B5F105-7B80-4E29-BB7A-64553388A1BA}"/>
    <cellStyle name="Nota 2 9 7 4" xfId="7755" xr:uid="{47C44FCF-B45B-4DA7-8668-6B2A7E1B3C2D}"/>
    <cellStyle name="Nota 2 9 8" xfId="1669" xr:uid="{9F2731F2-55B2-4014-A948-2900DA102C2E}"/>
    <cellStyle name="Nota 2 9 8 2" xfId="3983" xr:uid="{AA5E96A2-BF3A-452A-BFFA-5C9B6F3791C8}"/>
    <cellStyle name="Nota 2 9 8 3" xfId="6039" xr:uid="{7D74722D-3D89-4EC8-9B2E-13F2FC6F3F09}"/>
    <cellStyle name="Nota 2 9 8 4" xfId="7754" xr:uid="{CEAB85F2-22B6-490D-AC75-02DBF059F048}"/>
    <cellStyle name="Nota 2 9 9" xfId="2765" xr:uid="{951F0392-C68B-4DEE-8F01-BF29642E6043}"/>
    <cellStyle name="Nota 2 9 9 2" xfId="5079" xr:uid="{85439F01-1C74-4744-9653-DD9CEDD7860A}"/>
    <cellStyle name="Nota 2 9 9 3" xfId="7073" xr:uid="{0E26C546-E5E1-4A33-9ECC-2F99941DAB36}"/>
    <cellStyle name="Nota 2 9 9 4" xfId="8435" xr:uid="{313088D7-C73C-4B02-A6D6-7F21FE421540}"/>
    <cellStyle name="Output 2" xfId="52" xr:uid="{00000000-0005-0000-0000-000032000000}"/>
    <cellStyle name="Percent 2" xfId="90" xr:uid="{52A3F9CC-A8C3-4265-9629-6EC49E339FC3}"/>
    <cellStyle name="Percentuale" xfId="31" builtinId="5"/>
    <cellStyle name="Percentuale 10 3" xfId="11" xr:uid="{00000000-0005-0000-0000-000034000000}"/>
    <cellStyle name="Percentuale 2" xfId="13" xr:uid="{00000000-0005-0000-0000-000035000000}"/>
    <cellStyle name="Percentuale 2 2" xfId="34" xr:uid="{00000000-0005-0000-0000-000036000000}"/>
    <cellStyle name="Percentuale 2 2 10" xfId="904" xr:uid="{CF91C6AC-8104-463A-987E-0E01FB522C80}"/>
    <cellStyle name="Percentuale 2 2 10 2" xfId="3287" xr:uid="{F763E14D-0954-4F76-9378-5DD9BE7917F5}"/>
    <cellStyle name="Percentuale 2 2 10 3" xfId="3267" xr:uid="{F2E019FE-110E-4684-A7FD-F971244A4E9C}"/>
    <cellStyle name="Percentuale 2 2 10 4" xfId="6481" xr:uid="{D52FBCB6-B13E-4D21-A64F-5EA3AE0B2565}"/>
    <cellStyle name="Percentuale 2 2 11" xfId="781" xr:uid="{C045D6A4-AD3C-4672-A808-CC09E83F7614}"/>
    <cellStyle name="Percentuale 2 2 2" xfId="48" xr:uid="{00000000-0005-0000-0000-000037000000}"/>
    <cellStyle name="Percentuale 2 2 2 2" xfId="84" xr:uid="{D393FD68-AC00-4BC3-9134-453C935DB47D}"/>
    <cellStyle name="Percentuale 2 2 2 2 10" xfId="932" xr:uid="{A15E0D2D-513E-4BD5-915C-3D16DAEEE0F7}"/>
    <cellStyle name="Percentuale 2 2 2 2 10 2" xfId="3314" xr:uid="{9B6B7FD9-7CDC-41E5-9415-A7A8ECB295D6}"/>
    <cellStyle name="Percentuale 2 2 2 2 10 3" xfId="3235" xr:uid="{7B868E8A-4016-448B-8BCE-C5796148E108}"/>
    <cellStyle name="Percentuale 2 2 2 2 11" xfId="837" xr:uid="{BC6E00EE-DFF2-46D2-91F8-3C3C73FA6601}"/>
    <cellStyle name="Percentuale 2 2 2 2 12" xfId="3230" xr:uid="{211BF936-3D6A-484A-8036-BA1C7F859BFA}"/>
    <cellStyle name="Percentuale 2 2 2 2 13" xfId="3463" xr:uid="{D08D5286-A902-4F8B-AEBF-548F47E518C9}"/>
    <cellStyle name="Percentuale 2 2 2 2 2" xfId="120" xr:uid="{0064AB28-3A38-41B6-89D4-D396DFA15905}"/>
    <cellStyle name="Percentuale 2 2 2 2 2 10" xfId="870" xr:uid="{7C616078-236B-4335-9B6D-5D2F72BE0514}"/>
    <cellStyle name="Percentuale 2 2 2 2 2 11" xfId="3257" xr:uid="{DD1F196A-3AD1-45C5-B185-72995D7BC8C6}"/>
    <cellStyle name="Percentuale 2 2 2 2 2 12" xfId="6890" xr:uid="{B233EE48-30A2-4ECB-BFDF-4F0F294CD208}"/>
    <cellStyle name="Percentuale 2 2 2 2 2 2" xfId="192" xr:uid="{837A801F-A5D4-4B78-8F77-6FB02FB2D84B}"/>
    <cellStyle name="Percentuale 2 2 2 2 2 2 2" xfId="329" xr:uid="{05D57F1B-5434-4053-A1E8-BDA03CE0D5AD}"/>
    <cellStyle name="Percentuale 2 2 2 2 2 2 2 2" xfId="685" xr:uid="{BBE5F77A-9167-4C0C-A759-59F2FDE32305}"/>
    <cellStyle name="Percentuale 2 2 2 2 2 2 2 2 2" xfId="2143" xr:uid="{D576283E-CE42-4E59-97C8-0A9CCE29CFC0}"/>
    <cellStyle name="Percentuale 2 2 2 2 2 2 2 2 2 2" xfId="4457" xr:uid="{8BE50BF3-21AA-4AF1-B387-DD977B69A1E8}"/>
    <cellStyle name="Percentuale 2 2 2 2 2 2 2 2 2 3" xfId="8051" xr:uid="{263207A9-98C1-49B5-90E0-1C5FA53CF665}"/>
    <cellStyle name="Percentuale 2 2 2 2 2 2 2 2 3" xfId="2595" xr:uid="{CD5C91E6-3D5B-4C97-8682-65EEB1C345B0}"/>
    <cellStyle name="Percentuale 2 2 2 2 2 2 2 2 3 2" xfId="4909" xr:uid="{8889A1E5-4B41-4DC6-8995-A019EDE875D4}"/>
    <cellStyle name="Percentuale 2 2 2 2 2 2 2 2 3 3" xfId="8331" xr:uid="{87861578-7EF3-498B-8F6D-6BD6795CDBE3}"/>
    <cellStyle name="Percentuale 2 2 2 2 2 2 2 2 4" xfId="1533" xr:uid="{337AA608-D017-479A-9A65-0BB9922D1E08}"/>
    <cellStyle name="Percentuale 2 2 2 2 2 2 2 2 5" xfId="3849" xr:uid="{69516E77-06BC-4ED2-A518-A8EE041783C1}"/>
    <cellStyle name="Percentuale 2 2 2 2 2 2 2 2 6" xfId="7680" xr:uid="{2C795303-F096-45D9-A2AD-342982B40640}"/>
    <cellStyle name="Percentuale 2 2 2 2 2 2 2 3" xfId="757" xr:uid="{F46F8825-1BED-4E7E-9B90-50F607E32CE2}"/>
    <cellStyle name="Percentuale 2 2 2 2 2 2 2 3 2" xfId="2215" xr:uid="{E18E9BC6-8C11-47AA-B817-A3F133F46BA4}"/>
    <cellStyle name="Percentuale 2 2 2 2 2 2 2 3 2 2" xfId="4529" xr:uid="{D308B46B-6A76-49E8-8E50-464D43E8812A}"/>
    <cellStyle name="Percentuale 2 2 2 2 2 2 2 3 2 3" xfId="6551" xr:uid="{8E62FAE6-5769-4135-9A90-0B548B4F6682}"/>
    <cellStyle name="Percentuale 2 2 2 2 2 2 2 3 3" xfId="2667" xr:uid="{26AC4BB9-D98D-4F40-B7A3-025E7E9AE0F6}"/>
    <cellStyle name="Percentuale 2 2 2 2 2 2 2 3 3 2" xfId="4981" xr:uid="{C7D8B33A-A756-4C67-9313-DA296418DCB3}"/>
    <cellStyle name="Percentuale 2 2 2 2 2 2 2 3 3 3" xfId="6975" xr:uid="{2261BDF6-5ADB-46F6-B0D4-457F5FA83DD0}"/>
    <cellStyle name="Percentuale 2 2 2 2 2 2 2 3 4" xfId="3042" xr:uid="{4606C69B-9D88-47B4-AB65-7864FE39A2F6}"/>
    <cellStyle name="Percentuale 2 2 2 2 2 2 2 3 4 2" xfId="5356" xr:uid="{041CFC0A-0CD4-4D49-9796-0523467563FE}"/>
    <cellStyle name="Percentuale 2 2 2 2 2 2 2 3 4 3" xfId="7350" xr:uid="{9626974A-DF7F-40DC-90BE-09EE4DA65550}"/>
    <cellStyle name="Percentuale 2 2 2 2 2 2 2 3 5" xfId="1605" xr:uid="{95D724EA-245A-4B19-8B73-04AD4327F8C4}"/>
    <cellStyle name="Percentuale 2 2 2 2 2 2 2 3 6" xfId="3921" xr:uid="{6269DE9A-5495-4937-BBCD-5E746D82541E}"/>
    <cellStyle name="Percentuale 2 2 2 2 2 2 2 3 7" xfId="5988" xr:uid="{0C8D4AFF-CB1B-4746-A553-05D4E343D311}"/>
    <cellStyle name="Percentuale 2 2 2 2 2 2 2 4" xfId="545" xr:uid="{92105130-F4F9-41A1-B134-B89DEE52958E}"/>
    <cellStyle name="Percentuale 2 2 2 2 2 2 2 4 2" xfId="2004" xr:uid="{23D01E52-D97C-4640-A5D6-F0A42160B3CA}"/>
    <cellStyle name="Percentuale 2 2 2 2 2 2 2 4 2 2" xfId="4318" xr:uid="{911F89DB-5495-4FB5-BF74-BC476B3C3024}"/>
    <cellStyle name="Percentuale 2 2 2 2 2 2 2 4 2 3" xfId="6359" xr:uid="{B74A0683-D065-4C21-BAF4-556256EEC4F1}"/>
    <cellStyle name="Percentuale 2 2 2 2 2 2 2 4 3" xfId="2455" xr:uid="{9315F5AF-A54F-4A40-A431-9F7993298337}"/>
    <cellStyle name="Percentuale 2 2 2 2 2 2 2 4 3 2" xfId="4769" xr:uid="{FB2F90E6-DDE9-4BFF-9921-069942047FFA}"/>
    <cellStyle name="Percentuale 2 2 2 2 2 2 2 4 3 3" xfId="6779" xr:uid="{6620AE32-3ABB-4C40-B7EC-F5A92B337EFC}"/>
    <cellStyle name="Percentuale 2 2 2 2 2 2 2 4 4" xfId="2860" xr:uid="{D5D0D547-BE40-4203-AC0D-2B6742A4470F}"/>
    <cellStyle name="Percentuale 2 2 2 2 2 2 2 4 4 2" xfId="5174" xr:uid="{4029ECA2-708E-42F9-A464-F2C761FB450A}"/>
    <cellStyle name="Percentuale 2 2 2 2 2 2 2 4 4 3" xfId="7168" xr:uid="{82BA5373-BBE6-4430-8142-A519843EDDD5}"/>
    <cellStyle name="Percentuale 2 2 2 2 2 2 2 4 5" xfId="1393" xr:uid="{21ACA834-E8F9-4110-9DE7-B2117EA92FA3}"/>
    <cellStyle name="Percentuale 2 2 2 2 2 2 2 4 6" xfId="3709" xr:uid="{9D2C7F86-995D-44A6-9890-B85037F4C9DD}"/>
    <cellStyle name="Percentuale 2 2 2 2 2 2 2 4 7" xfId="5799" xr:uid="{E6C1B497-0B42-406B-8742-C97A591639AE}"/>
    <cellStyle name="Percentuale 2 2 2 2 2 2 2 5" xfId="1817" xr:uid="{38DBFD84-6E98-4AFB-A697-41F0231DEBC3}"/>
    <cellStyle name="Percentuale 2 2 2 2 2 2 2 5 2" xfId="4131" xr:uid="{C3A2C24D-EC5F-4D44-8A25-A3C10F57C8C4}"/>
    <cellStyle name="Percentuale 2 2 2 2 2 2 2 5 3" xfId="6180" xr:uid="{00708719-51D9-49E8-841C-A949FCF696DE}"/>
    <cellStyle name="Percentuale 2 2 2 2 2 2 2 6" xfId="2273" xr:uid="{2119D389-8125-4F4F-9000-21A372411AA5}"/>
    <cellStyle name="Percentuale 2 2 2 2 2 2 2 6 2" xfId="4587" xr:uid="{80C0A149-DDF9-40F6-B5DF-81A5C5D348C5}"/>
    <cellStyle name="Percentuale 2 2 2 2 2 2 2 6 3" xfId="6609" xr:uid="{BADFA445-C26E-43AF-8859-D3E584A19850}"/>
    <cellStyle name="Percentuale 2 2 2 2 2 2 2 7" xfId="1177" xr:uid="{2EF72D45-1DD4-4B0D-864A-EF5E604C5D48}"/>
    <cellStyle name="Percentuale 2 2 2 2 2 2 2 8" xfId="3516" xr:uid="{12BA428D-C9F9-4456-A57E-5A19271576B8}"/>
    <cellStyle name="Percentuale 2 2 2 2 2 2 2 9" xfId="5637" xr:uid="{1240733F-8C93-4085-9843-4153E3314C84}"/>
    <cellStyle name="Percentuale 2 2 2 2 2 2 3" xfId="503" xr:uid="{58DE69FB-8A7B-4DB0-AC89-034D5E051CED}"/>
    <cellStyle name="Percentuale 2 2 2 2 2 2 3 2" xfId="1964" xr:uid="{7ECBE56E-B287-4A66-A9BB-B50D52A7602E}"/>
    <cellStyle name="Percentuale 2 2 2 2 2 2 3 2 2" xfId="4278" xr:uid="{E51BBAA8-D4C4-40F0-ACA1-13CA9632FD7E}"/>
    <cellStyle name="Percentuale 2 2 2 2 2 2 3 2 3" xfId="7934" xr:uid="{F486A306-3ACF-4677-9E99-1746C4F4AAD1}"/>
    <cellStyle name="Percentuale 2 2 2 2 2 2 3 3" xfId="2416" xr:uid="{CD3A5F5D-02C0-4D4C-ADB8-F618474CFCCC}"/>
    <cellStyle name="Percentuale 2 2 2 2 2 2 3 3 2" xfId="4730" xr:uid="{8E94BB77-20EF-4575-B685-FF138556AF6F}"/>
    <cellStyle name="Percentuale 2 2 2 2 2 2 3 3 3" xfId="8214" xr:uid="{7A783146-C346-480E-9E2A-C77525D561DE}"/>
    <cellStyle name="Percentuale 2 2 2 2 2 2 3 4" xfId="1351" xr:uid="{6AE45A57-22DB-4026-B1E2-78F49ED33CCD}"/>
    <cellStyle name="Percentuale 2 2 2 2 2 2 3 5" xfId="3667" xr:uid="{77119C92-05C1-428C-B7B0-8803002263A5}"/>
    <cellStyle name="Percentuale 2 2 2 2 2 2 3 6" xfId="7564" xr:uid="{142FF08C-F05E-4F76-9592-32149593D3AF}"/>
    <cellStyle name="Percentuale 2 2 2 2 2 2 4" xfId="556" xr:uid="{EA72A446-DC74-4D50-BD1D-48C3C7275952}"/>
    <cellStyle name="Percentuale 2 2 2 2 2 2 4 2" xfId="2014" xr:uid="{A1745834-6756-48BD-AEF9-62DFA896692F}"/>
    <cellStyle name="Percentuale 2 2 2 2 2 2 4 2 2" xfId="4328" xr:uid="{EEBDD8D8-6A5B-4EF8-9BD9-C17333956797}"/>
    <cellStyle name="Percentuale 2 2 2 2 2 2 4 2 3" xfId="6369" xr:uid="{2AD17D3E-282F-45E4-8EE3-C54A09E69BCB}"/>
    <cellStyle name="Percentuale 2 2 2 2 2 2 4 3" xfId="2466" xr:uid="{CC7284E5-92BD-43FA-BBB2-65E32DB96F0E}"/>
    <cellStyle name="Percentuale 2 2 2 2 2 2 4 3 2" xfId="4780" xr:uid="{625F76D6-6E2B-4056-A869-7A3B3861FA11}"/>
    <cellStyle name="Percentuale 2 2 2 2 2 2 4 3 3" xfId="6790" xr:uid="{BAECF3FA-3699-475C-843B-2FB79360C152}"/>
    <cellStyle name="Percentuale 2 2 2 2 2 2 4 4" xfId="2871" xr:uid="{275CFBF5-25E6-47DB-9CC6-786161594A60}"/>
    <cellStyle name="Percentuale 2 2 2 2 2 2 4 4 2" xfId="5185" xr:uid="{AA585297-FC07-440B-A4A1-CA130D16A668}"/>
    <cellStyle name="Percentuale 2 2 2 2 2 2 4 4 3" xfId="7179" xr:uid="{5D027FDC-31BF-4088-B415-6AE04BB6699B}"/>
    <cellStyle name="Percentuale 2 2 2 2 2 2 4 5" xfId="1404" xr:uid="{A8AC31C0-0ADC-45AA-A401-3F999CF52D04}"/>
    <cellStyle name="Percentuale 2 2 2 2 2 2 4 6" xfId="3720" xr:uid="{21D8936F-078A-46A5-BA52-0C57E90D8446}"/>
    <cellStyle name="Percentuale 2 2 2 2 2 2 4 7" xfId="5810" xr:uid="{7D45A245-6A67-4333-AE51-B920720040F7}"/>
    <cellStyle name="Percentuale 2 2 2 2 2 2 5" xfId="2308" xr:uid="{37698309-0613-4081-AB78-D4FF6E22D118}"/>
    <cellStyle name="Percentuale 2 2 2 2 2 2 5 2" xfId="4622" xr:uid="{EFB1B4E2-BC7D-46D8-A9C8-7788B211D52E}"/>
    <cellStyle name="Percentuale 2 2 2 2 2 2 5 3" xfId="6644" xr:uid="{9FF7D12C-410E-4DC9-97CE-1CA155B5614C}"/>
    <cellStyle name="Percentuale 2 2 2 2 2 2 6" xfId="1040" xr:uid="{B46887A6-A2E3-4EA5-A275-195EA2580B0F}"/>
    <cellStyle name="Percentuale 2 2 2 2 2 2 7" xfId="3403" xr:uid="{E770DF56-37DA-4971-8162-881B6B0217FF}"/>
    <cellStyle name="Percentuale 2 2 2 2 2 2 8" xfId="3212" xr:uid="{EDD8CB03-DE69-4562-BD86-1CEA40C3CA4B}"/>
    <cellStyle name="Percentuale 2 2 2 2 2 3" xfId="260" xr:uid="{68BF323D-7D54-42EA-8738-90414CC2DC70}"/>
    <cellStyle name="Percentuale 2 2 2 2 2 3 2" xfId="637" xr:uid="{4B5A339D-23D4-467E-815C-0B9CDEF802A2}"/>
    <cellStyle name="Percentuale 2 2 2 2 2 3 2 2" xfId="2095" xr:uid="{B7C6F969-0C4E-4757-A476-05FF37CEDF22}"/>
    <cellStyle name="Percentuale 2 2 2 2 2 3 2 2 2" xfId="4409" xr:uid="{00C96774-C11A-4F7C-A920-367F2465E578}"/>
    <cellStyle name="Percentuale 2 2 2 2 2 3 2 2 3" xfId="8006" xr:uid="{16E855F0-4AE3-4BB7-9EB5-0BF0AE80A467}"/>
    <cellStyle name="Percentuale 2 2 2 2 2 3 2 3" xfId="2547" xr:uid="{AC51EF32-EF60-45EA-B3D3-D63F33A95B53}"/>
    <cellStyle name="Percentuale 2 2 2 2 2 3 2 3 2" xfId="4861" xr:uid="{A96D60D1-95BF-414E-A074-E509C2AF03D8}"/>
    <cellStyle name="Percentuale 2 2 2 2 2 3 2 3 3" xfId="8286" xr:uid="{6D11FC29-FF48-4AE1-917B-1D338D6EC555}"/>
    <cellStyle name="Percentuale 2 2 2 2 2 3 2 4" xfId="1485" xr:uid="{58379940-642B-49D2-AD05-66D528D4C725}"/>
    <cellStyle name="Percentuale 2 2 2 2 2 3 2 5" xfId="3801" xr:uid="{5BF7D16F-443C-4655-904C-5CB99C025A1F}"/>
    <cellStyle name="Percentuale 2 2 2 2 2 3 2 6" xfId="7635" xr:uid="{1D5648B2-4425-4627-915C-D17CF3268236}"/>
    <cellStyle name="Percentuale 2 2 2 2 2 3 3" xfId="715" xr:uid="{E88B69F6-1C6C-43AA-B148-812B367AA7E1}"/>
    <cellStyle name="Percentuale 2 2 2 2 2 3 3 2" xfId="2173" xr:uid="{054DD34C-FA07-4688-ABAA-CC7DE77FB205}"/>
    <cellStyle name="Percentuale 2 2 2 2 2 3 3 2 2" xfId="4487" xr:uid="{268A9392-7CE5-4CAB-936C-CF7225D8DF9A}"/>
    <cellStyle name="Percentuale 2 2 2 2 2 3 3 2 3" xfId="6509" xr:uid="{18C0FC12-B112-48E7-8547-272DF9C4DEA7}"/>
    <cellStyle name="Percentuale 2 2 2 2 2 3 3 3" xfId="2625" xr:uid="{393B42E9-A03B-4292-B271-54192D1D0E1B}"/>
    <cellStyle name="Percentuale 2 2 2 2 2 3 3 3 2" xfId="4939" xr:uid="{6F778A66-1A55-4FA1-BCDB-21D51F0D80F5}"/>
    <cellStyle name="Percentuale 2 2 2 2 2 3 3 3 3" xfId="6933" xr:uid="{59B1FE46-3454-47A0-8EE1-8FB3A505F7BE}"/>
    <cellStyle name="Percentuale 2 2 2 2 2 3 3 4" xfId="3000" xr:uid="{FDC71243-3AF5-4D91-9433-9C0885B48A47}"/>
    <cellStyle name="Percentuale 2 2 2 2 2 3 3 4 2" xfId="5314" xr:uid="{57672EE4-C2EC-401D-B891-ED296DF92EE5}"/>
    <cellStyle name="Percentuale 2 2 2 2 2 3 3 4 3" xfId="7308" xr:uid="{A86701C4-1098-417B-80B6-C8EB2F32C6AE}"/>
    <cellStyle name="Percentuale 2 2 2 2 2 3 3 5" xfId="1563" xr:uid="{CE65D205-2993-40FA-8CB9-71EB4AE065D1}"/>
    <cellStyle name="Percentuale 2 2 2 2 2 3 3 6" xfId="3879" xr:uid="{52DABFFA-C358-4C9F-BB27-7465E2198E01}"/>
    <cellStyle name="Percentuale 2 2 2 2 2 3 3 7" xfId="5946" xr:uid="{6473C868-107B-4845-9C19-AB4E39B889BF}"/>
    <cellStyle name="Percentuale 2 2 2 2 2 3 4" xfId="523" xr:uid="{DE460AE0-498C-4C5E-85DF-0890A28569AC}"/>
    <cellStyle name="Percentuale 2 2 2 2 2 3 4 2" xfId="1982" xr:uid="{388C0990-F0B0-4287-8BD0-6275EECF5C01}"/>
    <cellStyle name="Percentuale 2 2 2 2 2 3 4 2 2" xfId="4296" xr:uid="{3E657ED9-C365-4C95-BA5A-7618586A2FED}"/>
    <cellStyle name="Percentuale 2 2 2 2 2 3 4 2 3" xfId="6337" xr:uid="{3DAA9BF8-0078-474D-B779-EC585F044879}"/>
    <cellStyle name="Percentuale 2 2 2 2 2 3 4 3" xfId="2433" xr:uid="{6D4FB87C-5BF1-4C0D-9E84-C0D13B3DC932}"/>
    <cellStyle name="Percentuale 2 2 2 2 2 3 4 3 2" xfId="4747" xr:uid="{50C4CD37-3C85-41DE-83F2-8F8D3A1D9BAC}"/>
    <cellStyle name="Percentuale 2 2 2 2 2 3 4 3 3" xfId="6757" xr:uid="{FE346935-9F68-4C37-A0C7-CD3780232751}"/>
    <cellStyle name="Percentuale 2 2 2 2 2 3 4 4" xfId="2838" xr:uid="{46A9052C-E928-427A-B0AF-3B5CF02D44B7}"/>
    <cellStyle name="Percentuale 2 2 2 2 2 3 4 4 2" xfId="5152" xr:uid="{8F590D6A-C19D-4C1E-BFEB-76660C88F15C}"/>
    <cellStyle name="Percentuale 2 2 2 2 2 3 4 4 3" xfId="7146" xr:uid="{553F370F-EC8D-4B15-8E81-E2E2779EE09C}"/>
    <cellStyle name="Percentuale 2 2 2 2 2 3 4 5" xfId="1371" xr:uid="{5AEEB9FD-B3D4-42FD-B057-964840804026}"/>
    <cellStyle name="Percentuale 2 2 2 2 2 3 4 6" xfId="3687" xr:uid="{0DB0AA63-BCF6-415F-AFD4-A8CBC5697F18}"/>
    <cellStyle name="Percentuale 2 2 2 2 2 3 4 7" xfId="5777" xr:uid="{7938C3D2-6BBB-4A01-B78D-998035BFB200}"/>
    <cellStyle name="Percentuale 2 2 2 2 2 3 5" xfId="1759" xr:uid="{79533182-466E-438A-B98E-952BA5477731}"/>
    <cellStyle name="Percentuale 2 2 2 2 2 3 5 2" xfId="4073" xr:uid="{5F6DA08A-3DD4-49B1-88F5-211D2FC62C0D}"/>
    <cellStyle name="Percentuale 2 2 2 2 2 3 5 3" xfId="6123" xr:uid="{FB349556-86ED-4118-A0C5-E186F13BEBBE}"/>
    <cellStyle name="Percentuale 2 2 2 2 2 3 6" xfId="985" xr:uid="{F19B56E7-BEFE-4298-A513-4F7C6E3F7D46}"/>
    <cellStyle name="Percentuale 2 2 2 2 2 3 6 2" xfId="3358" xr:uid="{23882967-6627-4B43-BF3E-D1CADA5B4CA8}"/>
    <cellStyle name="Percentuale 2 2 2 2 2 3 6 3" xfId="787" xr:uid="{77206C46-EC16-49D2-949D-F7B93FF9ECF0}"/>
    <cellStyle name="Percentuale 2 2 2 2 2 3 7" xfId="1108" xr:uid="{7A96EABB-1840-4F57-9176-96E32974EDC5}"/>
    <cellStyle name="Percentuale 2 2 2 2 2 3 8" xfId="3462" xr:uid="{89E63553-4EA5-4FC1-BFD0-26CAED5B4782}"/>
    <cellStyle name="Percentuale 2 2 2 2 2 3 9" xfId="5585" xr:uid="{EE58FEAF-0D4B-471C-B8AB-99FF740A5435}"/>
    <cellStyle name="Percentuale 2 2 2 2 2 4" xfId="432" xr:uid="{2E60059D-61EF-458E-AE45-12FE284A8AA6}"/>
    <cellStyle name="Percentuale 2 2 2 2 2 4 2" xfId="1906" xr:uid="{8526623D-1EC6-41AC-87E9-D4226E8F3367}"/>
    <cellStyle name="Percentuale 2 2 2 2 2 4 2 2" xfId="4220" xr:uid="{4D412F65-7E39-4F61-987B-6F09E9D8023B}"/>
    <cellStyle name="Percentuale 2 2 2 2 2 4 2 3" xfId="6265" xr:uid="{543893F6-EE9D-498D-A35C-E1ED7FE1A66B}"/>
    <cellStyle name="Percentuale 2 2 2 2 2 4 3" xfId="2362" xr:uid="{3EB1F453-0D07-4183-818A-E48E19E871BE}"/>
    <cellStyle name="Percentuale 2 2 2 2 2 4 3 2" xfId="4676" xr:uid="{273444DA-994C-4BCF-BC59-2FE257ABC893}"/>
    <cellStyle name="Percentuale 2 2 2 2 2 4 3 3" xfId="6689" xr:uid="{D433CD61-59F3-49EE-BA8D-50CF86560DE0}"/>
    <cellStyle name="Percentuale 2 2 2 2 2 4 4" xfId="2774" xr:uid="{5053C3A6-99DD-4241-9A86-08E865446C56}"/>
    <cellStyle name="Percentuale 2 2 2 2 2 4 4 2" xfId="5088" xr:uid="{AB69A4AC-D25C-404F-A36E-E771E94D219F}"/>
    <cellStyle name="Percentuale 2 2 2 2 2 4 4 3" xfId="7082" xr:uid="{24DB08E2-235A-4604-B384-7F8EF5C92D8F}"/>
    <cellStyle name="Percentuale 2 2 2 2 2 4 5" xfId="1280" xr:uid="{8097C9EB-54CB-4E8C-A3AE-BF55DAD01F0E}"/>
    <cellStyle name="Percentuale 2 2 2 2 2 4 6" xfId="3608" xr:uid="{FD029859-D16B-42AF-B92E-2E094381E80E}"/>
    <cellStyle name="Percentuale 2 2 2 2 2 4 7" xfId="5709" xr:uid="{C4287919-54B3-409C-801A-01C30C649C36}"/>
    <cellStyle name="Percentuale 2 2 2 2 2 5" xfId="572" xr:uid="{CB8C504D-0C73-43E5-BB60-2656D077667B}"/>
    <cellStyle name="Percentuale 2 2 2 2 2 5 2" xfId="2030" xr:uid="{E6DE2E5A-9937-47DD-BF1B-377BF2AA91C9}"/>
    <cellStyle name="Percentuale 2 2 2 2 2 5 2 2" xfId="4344" xr:uid="{C0D38374-F33E-4A7A-8CCA-9C24799866A3}"/>
    <cellStyle name="Percentuale 2 2 2 2 2 5 2 3" xfId="6385" xr:uid="{11C2B4F4-8667-45A8-88BD-8D66C118F7CA}"/>
    <cellStyle name="Percentuale 2 2 2 2 2 5 3" xfId="2482" xr:uid="{19343445-0A42-423B-BE89-5623CF75BAE2}"/>
    <cellStyle name="Percentuale 2 2 2 2 2 5 3 2" xfId="4796" xr:uid="{CE0429A0-4010-4808-8270-2E56F105AA59}"/>
    <cellStyle name="Percentuale 2 2 2 2 2 5 3 3" xfId="6806" xr:uid="{232F6AA7-8758-4061-A928-B2ABF6AB7617}"/>
    <cellStyle name="Percentuale 2 2 2 2 2 5 4" xfId="2887" xr:uid="{5CA8DC87-98C6-4330-878C-C9F8E582EDFA}"/>
    <cellStyle name="Percentuale 2 2 2 2 2 5 4 2" xfId="5201" xr:uid="{FCBD9390-7F24-4E76-9836-ADB467C056A5}"/>
    <cellStyle name="Percentuale 2 2 2 2 2 5 4 3" xfId="7195" xr:uid="{023928CA-7060-48DE-908D-B9DDB12B41B4}"/>
    <cellStyle name="Percentuale 2 2 2 2 2 5 5" xfId="1420" xr:uid="{3DE0755A-F53C-4C1E-8F62-5D0447CD3BEA}"/>
    <cellStyle name="Percentuale 2 2 2 2 2 5 6" xfId="3736" xr:uid="{CEB4E82E-E964-4F60-B9D5-109C3B1548C5}"/>
    <cellStyle name="Percentuale 2 2 2 2 2 5 7" xfId="5826" xr:uid="{A58815F8-B369-4DFD-AE8F-E89D89111314}"/>
    <cellStyle name="Percentuale 2 2 2 2 2 6" xfId="345" xr:uid="{5240E515-2C04-4A9C-9BB6-ED141AC9992D}"/>
    <cellStyle name="Percentuale 2 2 2 2 2 6 2" xfId="1832" xr:uid="{A57C97F4-072D-4824-977F-0EB6AAF48B40}"/>
    <cellStyle name="Percentuale 2 2 2 2 2 6 2 2" xfId="4146" xr:uid="{0FC8AA71-CD81-4DF4-9921-253AC1F8CD2B}"/>
    <cellStyle name="Percentuale 2 2 2 2 2 6 2 3" xfId="6195" xr:uid="{70D45274-9541-4DDF-8CA9-9CD65D1B3C75}"/>
    <cellStyle name="Percentuale 2 2 2 2 2 6 3" xfId="2287" xr:uid="{545BED1F-AC21-4849-8A31-7E70D02F2A51}"/>
    <cellStyle name="Percentuale 2 2 2 2 2 6 3 2" xfId="4601" xr:uid="{DCC4132A-D3A4-43CC-9E4B-782CF00D60CE}"/>
    <cellStyle name="Percentuale 2 2 2 2 2 6 3 3" xfId="6623" xr:uid="{D5B5EFAC-9B6D-4F28-8262-A96503C6D051}"/>
    <cellStyle name="Percentuale 2 2 2 2 2 6 4" xfId="2717" xr:uid="{48C71DD4-C1E9-4732-A4CB-12965D7027A8}"/>
    <cellStyle name="Percentuale 2 2 2 2 2 6 4 2" xfId="5031" xr:uid="{6D89C9ED-E487-4D49-83BD-7D661C2E50FA}"/>
    <cellStyle name="Percentuale 2 2 2 2 2 6 4 3" xfId="7025" xr:uid="{56F5F637-C72C-4876-96CA-F1F863A98C8E}"/>
    <cellStyle name="Percentuale 2 2 2 2 2 6 5" xfId="1193" xr:uid="{1B7B954F-DEA9-4CE8-86EB-68839551034D}"/>
    <cellStyle name="Percentuale 2 2 2 2 2 6 6" xfId="3531" xr:uid="{8DB0FE83-8C5F-4E85-AAAF-C5B1A43D58D1}"/>
    <cellStyle name="Percentuale 2 2 2 2 2 6 7" xfId="5651" xr:uid="{3D2A3A4B-7BA4-4EB1-AADB-ACA540C9E33F}"/>
    <cellStyle name="Percentuale 2 2 2 2 2 7" xfId="970" xr:uid="{A1C64DD7-157D-4F86-872E-F8382E9A76CD}"/>
    <cellStyle name="Percentuale 2 2 2 2 2 7 2" xfId="3348" xr:uid="{4C879398-6CB5-4962-8D3D-CFB7E76DD937}"/>
    <cellStyle name="Percentuale 2 2 2 2 2 7 3" xfId="3928" xr:uid="{8EA81D5F-81EF-48C0-BF2E-1DA90059B938}"/>
    <cellStyle name="Percentuale 2 2 2 2 2 7 4" xfId="5544" xr:uid="{38E2D3F7-CCFC-4E3D-8C1F-A7A26F1AA776}"/>
    <cellStyle name="Percentuale 2 2 2 2 2 8" xfId="1658" xr:uid="{319E1FD6-C62B-47C4-BDDD-3ED02A12DFCC}"/>
    <cellStyle name="Percentuale 2 2 2 2 2 8 2" xfId="3972" xr:uid="{25457798-CA66-4BE3-966D-F76636128B30}"/>
    <cellStyle name="Percentuale 2 2 2 2 2 8 3" xfId="6029" xr:uid="{1E5ED69D-C8E1-445C-9F53-6FAED159DA75}"/>
    <cellStyle name="Percentuale 2 2 2 2 2 9" xfId="1705" xr:uid="{827B4957-FB14-4D1C-B46A-F1F4EAF67467}"/>
    <cellStyle name="Percentuale 2 2 2 2 2 9 2" xfId="4019" xr:uid="{6009C773-5332-41A9-A20E-AC0F069FC774}"/>
    <cellStyle name="Percentuale 2 2 2 2 2 9 3" xfId="6073" xr:uid="{9789F378-5A18-4E30-98E4-59D566275E6A}"/>
    <cellStyle name="Percentuale 2 2 2 2 3" xfId="126" xr:uid="{46688D14-1F23-4D93-AE7A-3E6AABECEC4B}"/>
    <cellStyle name="Percentuale 2 2 2 2 3 10" xfId="876" xr:uid="{46DB57A1-09EA-4F46-ACE0-3BA26C610449}"/>
    <cellStyle name="Percentuale 2 2 2 2 3 11" xfId="3261" xr:uid="{5ECB6EC9-D1C7-4880-89F0-DB3A286FF5B0}"/>
    <cellStyle name="Percentuale 2 2 2 2 3 12" xfId="6437" xr:uid="{C234077C-CF68-41FE-B79F-17C1E03880C1}"/>
    <cellStyle name="Percentuale 2 2 2 2 3 2" xfId="198" xr:uid="{3975436E-3E07-4C94-95BC-3D8965ED7D84}"/>
    <cellStyle name="Percentuale 2 2 2 2 3 2 2" xfId="335" xr:uid="{22487495-9745-4273-9263-5EF57B6DF37C}"/>
    <cellStyle name="Percentuale 2 2 2 2 3 2 2 2" xfId="688" xr:uid="{DEAFD802-395C-4C84-B9D0-8D8EA149FC57}"/>
    <cellStyle name="Percentuale 2 2 2 2 3 2 2 2 2" xfId="2146" xr:uid="{14B712C6-FCAF-4D9A-9A7B-926B65D7C833}"/>
    <cellStyle name="Percentuale 2 2 2 2 3 2 2 2 2 2" xfId="4460" xr:uid="{00E15870-B935-43AF-AF84-97CC9F602E97}"/>
    <cellStyle name="Percentuale 2 2 2 2 3 2 2 2 2 3" xfId="8054" xr:uid="{67A08E06-7683-4777-8D19-029B40CAC720}"/>
    <cellStyle name="Percentuale 2 2 2 2 3 2 2 2 3" xfId="2598" xr:uid="{F151D682-C2BF-4D86-8BF3-71B47794437C}"/>
    <cellStyle name="Percentuale 2 2 2 2 3 2 2 2 3 2" xfId="4912" xr:uid="{330E4324-853C-44D4-848F-5551436F82A7}"/>
    <cellStyle name="Percentuale 2 2 2 2 3 2 2 2 3 3" xfId="8334" xr:uid="{427444A2-32A9-403B-B78C-B5DCF45B8540}"/>
    <cellStyle name="Percentuale 2 2 2 2 3 2 2 2 4" xfId="1536" xr:uid="{2C81CA6A-AF81-41CA-ACA7-A20529B2CA83}"/>
    <cellStyle name="Percentuale 2 2 2 2 3 2 2 2 5" xfId="3852" xr:uid="{110CACBA-F194-40D0-9219-60836863E066}"/>
    <cellStyle name="Percentuale 2 2 2 2 3 2 2 2 6" xfId="7683" xr:uid="{62507362-81CC-4430-9E55-F167969C7FE3}"/>
    <cellStyle name="Percentuale 2 2 2 2 3 2 2 3" xfId="760" xr:uid="{1ED674F9-8C3C-4EA6-8F61-5D520B47FE44}"/>
    <cellStyle name="Percentuale 2 2 2 2 3 2 2 3 2" xfId="2218" xr:uid="{3DBDB1D9-7C6A-491F-ACF5-7D7D2D1C4317}"/>
    <cellStyle name="Percentuale 2 2 2 2 3 2 2 3 2 2" xfId="4532" xr:uid="{A14635D1-4679-4A13-B10C-0A63E008D0AE}"/>
    <cellStyle name="Percentuale 2 2 2 2 3 2 2 3 2 3" xfId="6554" xr:uid="{10E3E336-5490-432F-8813-9E869383058D}"/>
    <cellStyle name="Percentuale 2 2 2 2 3 2 2 3 3" xfId="2670" xr:uid="{C599C891-7561-4049-BF9E-83025FB2876C}"/>
    <cellStyle name="Percentuale 2 2 2 2 3 2 2 3 3 2" xfId="4984" xr:uid="{52C6BFDA-688C-456A-AED6-C24FA513088A}"/>
    <cellStyle name="Percentuale 2 2 2 2 3 2 2 3 3 3" xfId="6978" xr:uid="{6B6BDA84-91B1-455D-B894-A71E78D61058}"/>
    <cellStyle name="Percentuale 2 2 2 2 3 2 2 3 4" xfId="3045" xr:uid="{35B1BD09-F412-4DA8-907A-D7AF666CE1DE}"/>
    <cellStyle name="Percentuale 2 2 2 2 3 2 2 3 4 2" xfId="5359" xr:uid="{A37A31A1-21ED-4782-9052-2922949422E0}"/>
    <cellStyle name="Percentuale 2 2 2 2 3 2 2 3 4 3" xfId="7353" xr:uid="{BDDC74B6-0EE7-41F6-90F8-438B09D62F4F}"/>
    <cellStyle name="Percentuale 2 2 2 2 3 2 2 3 5" xfId="1608" xr:uid="{5CC3AD11-7A07-4881-B5D8-62FB7D8DEC34}"/>
    <cellStyle name="Percentuale 2 2 2 2 3 2 2 3 6" xfId="3924" xr:uid="{7F301A48-B113-488F-9EF8-E586B8E30E39}"/>
    <cellStyle name="Percentuale 2 2 2 2 3 2 2 3 7" xfId="5991" xr:uid="{D1F24117-68E1-4A22-90F4-B160F4F6AD61}"/>
    <cellStyle name="Percentuale 2 2 2 2 3 2 2 4" xfId="548" xr:uid="{F64E7337-0F0B-4C4F-B6A6-F274931C8606}"/>
    <cellStyle name="Percentuale 2 2 2 2 3 2 2 4 2" xfId="2007" xr:uid="{6138B261-E8DE-429A-A8D4-C81AE4D0B3A2}"/>
    <cellStyle name="Percentuale 2 2 2 2 3 2 2 4 2 2" xfId="4321" xr:uid="{66AA8C4A-B94F-43AA-A68C-498549C70641}"/>
    <cellStyle name="Percentuale 2 2 2 2 3 2 2 4 2 3" xfId="6362" xr:uid="{73AAC125-3DE3-4B18-9619-6F957F2FD1C7}"/>
    <cellStyle name="Percentuale 2 2 2 2 3 2 2 4 3" xfId="2458" xr:uid="{E8F9D5D4-76FB-44FF-8C76-AA45A6C1720F}"/>
    <cellStyle name="Percentuale 2 2 2 2 3 2 2 4 3 2" xfId="4772" xr:uid="{46707772-054C-4391-9A2B-BBE9A5CEB85F}"/>
    <cellStyle name="Percentuale 2 2 2 2 3 2 2 4 3 3" xfId="6782" xr:uid="{33FFEA0C-2ED2-4250-87ED-6E7314966AB3}"/>
    <cellStyle name="Percentuale 2 2 2 2 3 2 2 4 4" xfId="2863" xr:uid="{33AF0EDC-2824-43D2-A080-5C52DAA00864}"/>
    <cellStyle name="Percentuale 2 2 2 2 3 2 2 4 4 2" xfId="5177" xr:uid="{29F5EF47-FB52-4015-9527-71794111B066}"/>
    <cellStyle name="Percentuale 2 2 2 2 3 2 2 4 4 3" xfId="7171" xr:uid="{F3218680-4C9C-44E9-B154-FC9F66622115}"/>
    <cellStyle name="Percentuale 2 2 2 2 3 2 2 4 5" xfId="1396" xr:uid="{EBE6F266-6D9B-4D2F-AEB6-1B7F25A26B2B}"/>
    <cellStyle name="Percentuale 2 2 2 2 3 2 2 4 6" xfId="3712" xr:uid="{026B5D34-D629-4DDF-AB10-56DF01F3F30A}"/>
    <cellStyle name="Percentuale 2 2 2 2 3 2 2 4 7" xfId="5802" xr:uid="{6F5BAD45-B156-46B4-8DAB-62EA46EEFF5C}"/>
    <cellStyle name="Percentuale 2 2 2 2 3 2 2 5" xfId="1822" xr:uid="{7B0FF126-275A-4934-83B9-7A0716DB9666}"/>
    <cellStyle name="Percentuale 2 2 2 2 3 2 2 5 2" xfId="4136" xr:uid="{606D8002-1DF5-4DC5-ADB7-E246B5B53193}"/>
    <cellStyle name="Percentuale 2 2 2 2 3 2 2 5 3" xfId="6185" xr:uid="{3F5CB98A-292C-464E-BE5F-BA1E3A606C87}"/>
    <cellStyle name="Percentuale 2 2 2 2 3 2 2 6" xfId="2277" xr:uid="{F590B8A9-7373-4355-86B5-AE00EE5DB89A}"/>
    <cellStyle name="Percentuale 2 2 2 2 3 2 2 6 2" xfId="4591" xr:uid="{FCE9C9D6-C372-4439-A3AC-8DFE82FCB0CC}"/>
    <cellStyle name="Percentuale 2 2 2 2 3 2 2 6 3" xfId="6613" xr:uid="{9F3EEBB4-5C4A-40BA-A969-4639CBD4217F}"/>
    <cellStyle name="Percentuale 2 2 2 2 3 2 2 7" xfId="1183" xr:uid="{F49266BC-F000-4805-8B10-13BA0918CDDD}"/>
    <cellStyle name="Percentuale 2 2 2 2 3 2 2 8" xfId="3521" xr:uid="{0D46DAFC-1B92-4D9C-BC36-8DFBC6BF8363}"/>
    <cellStyle name="Percentuale 2 2 2 2 3 2 2 9" xfId="5641" xr:uid="{7E36978A-8350-4D17-9B75-0230B57CA798}"/>
    <cellStyle name="Percentuale 2 2 2 2 3 2 3" xfId="509" xr:uid="{909C9785-5771-4F5B-8565-D7A88EB8C472}"/>
    <cellStyle name="Percentuale 2 2 2 2 3 2 3 2" xfId="1968" xr:uid="{8CED0BE8-4963-49CF-A4D4-674074A14D4E}"/>
    <cellStyle name="Percentuale 2 2 2 2 3 2 3 2 2" xfId="4282" xr:uid="{7419602D-8216-4B6B-BCCF-DD81C22775CE}"/>
    <cellStyle name="Percentuale 2 2 2 2 3 2 3 2 3" xfId="7938" xr:uid="{5E563FA7-A7A8-44F0-A9F2-9E16AA8D9F0A}"/>
    <cellStyle name="Percentuale 2 2 2 2 3 2 3 3" xfId="2419" xr:uid="{03D5E084-2F24-4B96-BD0D-398E1E6B5DCC}"/>
    <cellStyle name="Percentuale 2 2 2 2 3 2 3 3 2" xfId="4733" xr:uid="{FB8DC67B-0F17-4DC5-8735-7841B4D45802}"/>
    <cellStyle name="Percentuale 2 2 2 2 3 2 3 3 3" xfId="8217" xr:uid="{4B218429-29CE-4E3C-B042-C4925DF55C72}"/>
    <cellStyle name="Percentuale 2 2 2 2 3 2 3 4" xfId="1357" xr:uid="{0F7FA263-2518-4B77-8DAA-E16FD213E9CE}"/>
    <cellStyle name="Percentuale 2 2 2 2 3 2 3 5" xfId="3673" xr:uid="{D84C4B60-BE59-4800-A030-79E2AFBC1498}"/>
    <cellStyle name="Percentuale 2 2 2 2 3 2 3 6" xfId="7567" xr:uid="{2D8D34E1-0D4F-4D24-8C86-C85AF04CFE02}"/>
    <cellStyle name="Percentuale 2 2 2 2 3 2 4" xfId="621" xr:uid="{9CE837E8-338A-4581-9FD4-542EB6844F04}"/>
    <cellStyle name="Percentuale 2 2 2 2 3 2 4 2" xfId="2079" xr:uid="{B823A2B2-10B8-40D4-AA5A-8CEDAF53F5E8}"/>
    <cellStyle name="Percentuale 2 2 2 2 3 2 4 2 2" xfId="4393" xr:uid="{E3DC937A-1594-492E-8E0D-309A292FE429}"/>
    <cellStyle name="Percentuale 2 2 2 2 3 2 4 2 3" xfId="6433" xr:uid="{83DAA355-BED2-4321-94D7-8453415EAC6C}"/>
    <cellStyle name="Percentuale 2 2 2 2 3 2 4 3" xfId="2531" xr:uid="{7EB24A5A-C0B1-4FE6-9B94-93B8B3075583}"/>
    <cellStyle name="Percentuale 2 2 2 2 3 2 4 3 2" xfId="4845" xr:uid="{10AE72F4-84A5-433E-BC51-09D12D4156CA}"/>
    <cellStyle name="Percentuale 2 2 2 2 3 2 4 3 3" xfId="6854" xr:uid="{C4479CD4-CA39-4AA9-B164-4E9E22EADDA3}"/>
    <cellStyle name="Percentuale 2 2 2 2 3 2 4 4" xfId="2933" xr:uid="{FC8F0390-6260-4E21-B742-70F607BB4FC9}"/>
    <cellStyle name="Percentuale 2 2 2 2 3 2 4 4 2" xfId="5247" xr:uid="{2162F3C3-6566-4B27-AA6D-BA2C381F6286}"/>
    <cellStyle name="Percentuale 2 2 2 2 3 2 4 4 3" xfId="7241" xr:uid="{91E42861-9E75-446D-A2DB-4A6621AFEE35}"/>
    <cellStyle name="Percentuale 2 2 2 2 3 2 4 5" xfId="1469" xr:uid="{08C65027-FF7E-400A-ACFC-422414D17EF4}"/>
    <cellStyle name="Percentuale 2 2 2 2 3 2 4 6" xfId="3785" xr:uid="{D2991552-3C1D-4136-8482-1200EBA242B7}"/>
    <cellStyle name="Percentuale 2 2 2 2 3 2 4 7" xfId="5873" xr:uid="{EA959972-5AEF-4CBB-BA14-B88B981DDE6B}"/>
    <cellStyle name="Percentuale 2 2 2 2 3 2 5" xfId="1668" xr:uid="{0A65E438-2C10-47DF-A62C-B0B6DE4F716C}"/>
    <cellStyle name="Percentuale 2 2 2 2 3 2 5 2" xfId="3982" xr:uid="{41C90D0F-906A-4917-A14E-DE0794326978}"/>
    <cellStyle name="Percentuale 2 2 2 2 3 2 5 3" xfId="6038" xr:uid="{6E77AA2D-E508-4A9F-966B-3D8CE9D5DB3E}"/>
    <cellStyle name="Percentuale 2 2 2 2 3 2 6" xfId="1046" xr:uid="{FAB99A8B-6DB1-454E-9B0E-EA8FEC6860E9}"/>
    <cellStyle name="Percentuale 2 2 2 2 3 2 7" xfId="3407" xr:uid="{AE2D53A2-510B-4CFA-8F17-1B0B434A3C75}"/>
    <cellStyle name="Percentuale 2 2 2 2 3 2 8" xfId="3517" xr:uid="{FFFC1B5B-2DAC-4838-8419-36D07E771D6D}"/>
    <cellStyle name="Percentuale 2 2 2 2 3 3" xfId="266" xr:uid="{7375564D-32EF-40B8-9D54-7BED8DB5437A}"/>
    <cellStyle name="Percentuale 2 2 2 2 3 3 2" xfId="640" xr:uid="{AE4917B0-3AB6-49AE-8930-53B5FA2267D2}"/>
    <cellStyle name="Percentuale 2 2 2 2 3 3 2 2" xfId="2098" xr:uid="{4DC17501-B3F8-40AF-8578-F1E3EBC0F01D}"/>
    <cellStyle name="Percentuale 2 2 2 2 3 3 2 2 2" xfId="4412" xr:uid="{22E41CF0-9330-4AC3-BEB1-023F5952B8B7}"/>
    <cellStyle name="Percentuale 2 2 2 2 3 3 2 2 3" xfId="8009" xr:uid="{E5BEB6BF-B0A1-4758-AEF1-BDB79E40B08B}"/>
    <cellStyle name="Percentuale 2 2 2 2 3 3 2 3" xfId="2550" xr:uid="{9F03CDC8-7E03-4DF0-9E83-865BBD4CFB42}"/>
    <cellStyle name="Percentuale 2 2 2 2 3 3 2 3 2" xfId="4864" xr:uid="{B98A2229-8CB5-4580-A2C8-3AB0C13EC124}"/>
    <cellStyle name="Percentuale 2 2 2 2 3 3 2 3 3" xfId="8289" xr:uid="{89EC0BC1-EA93-4F68-8F9E-13E3C214C6FE}"/>
    <cellStyle name="Percentuale 2 2 2 2 3 3 2 4" xfId="1488" xr:uid="{1F50A675-5C52-485C-A90E-51314C23D575}"/>
    <cellStyle name="Percentuale 2 2 2 2 3 3 2 5" xfId="3804" xr:uid="{1FB445CE-C5BC-4B3E-A788-62592B9936D4}"/>
    <cellStyle name="Percentuale 2 2 2 2 3 3 2 6" xfId="7638" xr:uid="{DB407F36-67E8-4135-AB23-41580FE4E5CD}"/>
    <cellStyle name="Percentuale 2 2 2 2 3 3 3" xfId="718" xr:uid="{1FD88ACE-35EB-4AAD-9CF2-21999250EAB9}"/>
    <cellStyle name="Percentuale 2 2 2 2 3 3 3 2" xfId="2176" xr:uid="{348132C5-40D5-44CF-B5A0-BCEAF7EE642E}"/>
    <cellStyle name="Percentuale 2 2 2 2 3 3 3 2 2" xfId="4490" xr:uid="{B959571F-5112-4C0B-BB6E-969D04E41420}"/>
    <cellStyle name="Percentuale 2 2 2 2 3 3 3 2 3" xfId="6512" xr:uid="{412CCAF6-3164-4358-9FD4-3795077F3BAD}"/>
    <cellStyle name="Percentuale 2 2 2 2 3 3 3 3" xfId="2628" xr:uid="{23FA1870-01F2-437F-9602-4DA696D13208}"/>
    <cellStyle name="Percentuale 2 2 2 2 3 3 3 3 2" xfId="4942" xr:uid="{B2DBE91E-622B-4351-9AC2-021184D073A6}"/>
    <cellStyle name="Percentuale 2 2 2 2 3 3 3 3 3" xfId="6936" xr:uid="{EE618E91-4519-4D71-ACF8-59349522EF71}"/>
    <cellStyle name="Percentuale 2 2 2 2 3 3 3 4" xfId="3003" xr:uid="{8D9971BB-4241-4C37-9BBD-9EB07577128E}"/>
    <cellStyle name="Percentuale 2 2 2 2 3 3 3 4 2" xfId="5317" xr:uid="{81BE7A70-B3ED-4F5B-AB67-A8DC4EC96BFE}"/>
    <cellStyle name="Percentuale 2 2 2 2 3 3 3 4 3" xfId="7311" xr:uid="{0B26DE1D-3D3B-4EAF-9986-D39574AECC80}"/>
    <cellStyle name="Percentuale 2 2 2 2 3 3 3 5" xfId="1566" xr:uid="{5F411FAA-11F2-4040-BA59-2D22BBC0BDB0}"/>
    <cellStyle name="Percentuale 2 2 2 2 3 3 3 6" xfId="3882" xr:uid="{B7E7CECA-803E-40F5-8C2F-10CF8D9CF5B7}"/>
    <cellStyle name="Percentuale 2 2 2 2 3 3 3 7" xfId="5949" xr:uid="{6EA4FBCE-E436-42AC-911B-A9AEB5FA55B7}"/>
    <cellStyle name="Percentuale 2 2 2 2 3 3 4" xfId="526" xr:uid="{AEE90084-4717-4A11-AE37-BE259A2DBFE6}"/>
    <cellStyle name="Percentuale 2 2 2 2 3 3 4 2" xfId="1985" xr:uid="{B5FACED0-FA25-424D-A92E-223774821E5F}"/>
    <cellStyle name="Percentuale 2 2 2 2 3 3 4 2 2" xfId="4299" xr:uid="{F631AA86-D025-4E58-BE7C-1F38F4E8C8C4}"/>
    <cellStyle name="Percentuale 2 2 2 2 3 3 4 2 3" xfId="6340" xr:uid="{2A975EA9-405F-4E05-A2A7-D322971304D2}"/>
    <cellStyle name="Percentuale 2 2 2 2 3 3 4 3" xfId="2436" xr:uid="{6C832EA2-947A-4CB5-9D7A-3BB6B58EABB7}"/>
    <cellStyle name="Percentuale 2 2 2 2 3 3 4 3 2" xfId="4750" xr:uid="{C2E0AE1E-B95F-44B0-9D58-63DFB8A81C2D}"/>
    <cellStyle name="Percentuale 2 2 2 2 3 3 4 3 3" xfId="6760" xr:uid="{51CF25B0-BAAB-494F-B199-CB45369DCECD}"/>
    <cellStyle name="Percentuale 2 2 2 2 3 3 4 4" xfId="2841" xr:uid="{39681C4F-8610-4C7D-9739-6561B1ED3899}"/>
    <cellStyle name="Percentuale 2 2 2 2 3 3 4 4 2" xfId="5155" xr:uid="{0A08B79D-8549-434D-BAC8-A1F6FC775413}"/>
    <cellStyle name="Percentuale 2 2 2 2 3 3 4 4 3" xfId="7149" xr:uid="{C22B8C90-9A90-4E08-B041-C176F4A8D11C}"/>
    <cellStyle name="Percentuale 2 2 2 2 3 3 4 5" xfId="1374" xr:uid="{0214DE2E-469D-45B6-8EFC-F948C3CBAA1B}"/>
    <cellStyle name="Percentuale 2 2 2 2 3 3 4 6" xfId="3690" xr:uid="{C45319ED-B66F-4ECC-A9F8-AA342F41CBB8}"/>
    <cellStyle name="Percentuale 2 2 2 2 3 3 4 7" xfId="5780" xr:uid="{CC170698-50D5-4965-8FFF-341AF37A8B58}"/>
    <cellStyle name="Percentuale 2 2 2 2 3 3 5" xfId="1763" xr:uid="{8862BF3F-357B-4FD4-BBE1-B53AC584A421}"/>
    <cellStyle name="Percentuale 2 2 2 2 3 3 5 2" xfId="4077" xr:uid="{B3A04FC4-A9A0-4B69-9201-C1847FC39E41}"/>
    <cellStyle name="Percentuale 2 2 2 2 3 3 5 3" xfId="6127" xr:uid="{C4464006-83FF-4758-B969-148BB03BA23F}"/>
    <cellStyle name="Percentuale 2 2 2 2 3 3 6" xfId="1629" xr:uid="{911D5920-2334-4BB5-A3E5-5980F6A1A96A}"/>
    <cellStyle name="Percentuale 2 2 2 2 3 3 6 2" xfId="3943" xr:uid="{C0458070-47D6-42DE-BD19-0F2E69EB97C2}"/>
    <cellStyle name="Percentuale 2 2 2 2 3 3 6 3" xfId="6004" xr:uid="{AA316FD1-1D31-48A0-B1DC-5DCE0EB2CA67}"/>
    <cellStyle name="Percentuale 2 2 2 2 3 3 7" xfId="1114" xr:uid="{813247FA-B8FC-429B-A913-C46FD4569550}"/>
    <cellStyle name="Percentuale 2 2 2 2 3 3 8" xfId="3466" xr:uid="{94307BF6-454E-48A8-A88A-BA76B69F9813}"/>
    <cellStyle name="Percentuale 2 2 2 2 3 3 9" xfId="5589" xr:uid="{A218A799-08C1-4813-9742-687D7E32D5A7}"/>
    <cellStyle name="Percentuale 2 2 2 2 3 4" xfId="438" xr:uid="{D3031711-7F21-4B78-9D21-51BEA59BCD1A}"/>
    <cellStyle name="Percentuale 2 2 2 2 3 4 2" xfId="1910" xr:uid="{41098359-CF85-4A92-BC4E-5E18F0BB1137}"/>
    <cellStyle name="Percentuale 2 2 2 2 3 4 2 2" xfId="4224" xr:uid="{748610C6-771C-48BF-AA5B-B74B4E6CB75A}"/>
    <cellStyle name="Percentuale 2 2 2 2 3 4 2 3" xfId="6269" xr:uid="{4AA2A055-11A8-4503-B98F-5D5A60DEABC4}"/>
    <cellStyle name="Percentuale 2 2 2 2 3 4 3" xfId="2366" xr:uid="{818B24CC-B0C1-43A9-8B10-9025F8E301FF}"/>
    <cellStyle name="Percentuale 2 2 2 2 3 4 3 2" xfId="4680" xr:uid="{6AADB563-7029-4FBC-A29A-4E56995268AC}"/>
    <cellStyle name="Percentuale 2 2 2 2 3 4 3 3" xfId="6693" xr:uid="{A400F5D3-64DD-4C91-80AC-FAD8882BE340}"/>
    <cellStyle name="Percentuale 2 2 2 2 3 4 4" xfId="2778" xr:uid="{92FE8832-746F-46C2-B3E1-17D617A1AFE0}"/>
    <cellStyle name="Percentuale 2 2 2 2 3 4 4 2" xfId="5092" xr:uid="{436CA0B6-15BF-4650-9B52-0CAE00C1C459}"/>
    <cellStyle name="Percentuale 2 2 2 2 3 4 4 3" xfId="7086" xr:uid="{F7760F76-E923-41AF-8703-FAD1CB8FF5C3}"/>
    <cellStyle name="Percentuale 2 2 2 2 3 4 5" xfId="1286" xr:uid="{0304654A-6B9C-4B81-A0F1-E2301651C1E6}"/>
    <cellStyle name="Percentuale 2 2 2 2 3 4 6" xfId="3612" xr:uid="{75E7643B-EBF3-49D1-97E9-A2B4E5D82B10}"/>
    <cellStyle name="Percentuale 2 2 2 2 3 4 7" xfId="5714" xr:uid="{7B97CC54-A5A5-4D50-AC99-1FEEFEB2CBAC}"/>
    <cellStyle name="Percentuale 2 2 2 2 3 5" xfId="577" xr:uid="{476D8738-ECB1-4D2E-82F8-135FF45C93E3}"/>
    <cellStyle name="Percentuale 2 2 2 2 3 5 2" xfId="2035" xr:uid="{DEB25B47-ABB8-43B9-B423-473A7DA152E6}"/>
    <cellStyle name="Percentuale 2 2 2 2 3 5 2 2" xfId="4349" xr:uid="{C88DAA35-6C03-44BC-B3DE-B85309075C84}"/>
    <cellStyle name="Percentuale 2 2 2 2 3 5 2 3" xfId="6390" xr:uid="{D46E4D84-56DB-49B7-85A2-C7680FCBB077}"/>
    <cellStyle name="Percentuale 2 2 2 2 3 5 3" xfId="2487" xr:uid="{8F0884A6-EE92-4962-85B7-281655B280A8}"/>
    <cellStyle name="Percentuale 2 2 2 2 3 5 3 2" xfId="4801" xr:uid="{7A22FA3B-3E3C-4276-B6A5-303E93247AA1}"/>
    <cellStyle name="Percentuale 2 2 2 2 3 5 3 3" xfId="6811" xr:uid="{5787CB68-ACF8-45EE-A1AA-204BE0F756D6}"/>
    <cellStyle name="Percentuale 2 2 2 2 3 5 4" xfId="2892" xr:uid="{8E5FF06F-15A4-4BC7-956A-FAF15BC44542}"/>
    <cellStyle name="Percentuale 2 2 2 2 3 5 4 2" xfId="5206" xr:uid="{362D1FA0-9AD4-4DA7-942B-8AA0CB8CC89B}"/>
    <cellStyle name="Percentuale 2 2 2 2 3 5 4 3" xfId="7200" xr:uid="{83D0A5A2-0F74-4801-B9A7-52F5E09EA46B}"/>
    <cellStyle name="Percentuale 2 2 2 2 3 5 5" xfId="1425" xr:uid="{BDE9516B-766A-4443-A33C-F3C95B902608}"/>
    <cellStyle name="Percentuale 2 2 2 2 3 5 6" xfId="3741" xr:uid="{4D4D94BF-BD51-40E8-B34C-42B56A68D3BD}"/>
    <cellStyle name="Percentuale 2 2 2 2 3 5 7" xfId="5831" xr:uid="{492467F3-52DD-4510-84A7-D2E27B8A7311}"/>
    <cellStyle name="Percentuale 2 2 2 2 3 6" xfId="348" xr:uid="{DCFFBC45-D95A-4A89-AD79-EAEA2A74D9EF}"/>
    <cellStyle name="Percentuale 2 2 2 2 3 6 2" xfId="1835" xr:uid="{34A5A170-2545-4EAF-975D-5E18E4798B63}"/>
    <cellStyle name="Percentuale 2 2 2 2 3 6 2 2" xfId="4149" xr:uid="{DFC5D4EF-CEA3-480D-856A-FAA292FF7EB9}"/>
    <cellStyle name="Percentuale 2 2 2 2 3 6 2 3" xfId="6198" xr:uid="{5057C465-145E-49D9-9983-098F33AC5899}"/>
    <cellStyle name="Percentuale 2 2 2 2 3 6 3" xfId="2290" xr:uid="{1B845BE1-2847-4F71-91F4-DB2F951A6C9B}"/>
    <cellStyle name="Percentuale 2 2 2 2 3 6 3 2" xfId="4604" xr:uid="{DA8667B1-D6AC-49DB-9F8A-CFA1204B0202}"/>
    <cellStyle name="Percentuale 2 2 2 2 3 6 3 3" xfId="6626" xr:uid="{D85A7654-E781-4508-BDDC-D1D8E38B7374}"/>
    <cellStyle name="Percentuale 2 2 2 2 3 6 4" xfId="2720" xr:uid="{C8739495-1813-462B-929D-2D1DBA4EC849}"/>
    <cellStyle name="Percentuale 2 2 2 2 3 6 4 2" xfId="5034" xr:uid="{FC3E5768-E641-4B50-A0B1-14F36B162891}"/>
    <cellStyle name="Percentuale 2 2 2 2 3 6 4 3" xfId="7028" xr:uid="{BE524093-992B-47A6-B6D0-07092D12E71A}"/>
    <cellStyle name="Percentuale 2 2 2 2 3 6 5" xfId="1196" xr:uid="{69256453-B227-4A93-BE6B-437C56DF1CF9}"/>
    <cellStyle name="Percentuale 2 2 2 2 3 6 6" xfId="3534" xr:uid="{681D813F-2B99-4B17-9859-F506732EB856}"/>
    <cellStyle name="Percentuale 2 2 2 2 3 6 7" xfId="5654" xr:uid="{D36E1523-1996-42F1-97AF-77A2023585DD}"/>
    <cellStyle name="Percentuale 2 2 2 2 3 7" xfId="976" xr:uid="{427E5558-DF77-46BD-86F5-50837BDD0519}"/>
    <cellStyle name="Percentuale 2 2 2 2 3 7 2" xfId="3351" xr:uid="{9355D702-3AB4-4AC0-9840-6D388BAC9934}"/>
    <cellStyle name="Percentuale 2 2 2 2 3 7 3" xfId="831" xr:uid="{4C582FF8-4ACE-4FA8-AF83-96B4D63EBED4}"/>
    <cellStyle name="Percentuale 2 2 2 2 3 7 4" xfId="6320" xr:uid="{8FD797CA-5A1F-4F37-B25E-EA0A5F1429F0}"/>
    <cellStyle name="Percentuale 2 2 2 2 3 8" xfId="1661" xr:uid="{79E0CAA0-CF97-48CC-87B1-26BA8760DC04}"/>
    <cellStyle name="Percentuale 2 2 2 2 3 8 2" xfId="3975" xr:uid="{0F83B07A-DA65-46EE-9145-1E7CDF16088D}"/>
    <cellStyle name="Percentuale 2 2 2 2 3 8 3" xfId="6032" xr:uid="{AF4EA868-7466-4D1B-8F2D-44BA2F7D060C}"/>
    <cellStyle name="Percentuale 2 2 2 2 3 9" xfId="1790" xr:uid="{A49E19E7-AF55-4246-853F-506D37046B9B}"/>
    <cellStyle name="Percentuale 2 2 2 2 3 9 2" xfId="4104" xr:uid="{0A3CD121-E4F7-4EF6-AE09-5B20DA04E09D}"/>
    <cellStyle name="Percentuale 2 2 2 2 3 9 3" xfId="6153" xr:uid="{E27DE9E4-256D-4755-8568-2FF819224FED}"/>
    <cellStyle name="Percentuale 2 2 2 2 4" xfId="159" xr:uid="{29FB3E7E-C244-4B84-8415-669510EDFE3E}"/>
    <cellStyle name="Percentuale 2 2 2 2 4 10" xfId="3386" xr:uid="{8AF7EF62-0F3B-4E5A-BBA6-0FF317A75CE9}"/>
    <cellStyle name="Percentuale 2 2 2 2 4 2" xfId="296" xr:uid="{282418EF-5EEE-4630-BD8A-81C7A6D4B213}"/>
    <cellStyle name="Percentuale 2 2 2 2 4 2 2" xfId="663" xr:uid="{29D22FC2-1C8A-49BF-9412-7F48EF9281E8}"/>
    <cellStyle name="Percentuale 2 2 2 2 4 2 2 2" xfId="2121" xr:uid="{33F5374F-EB81-4877-B101-B4EEF3C87C7A}"/>
    <cellStyle name="Percentuale 2 2 2 2 4 2 2 2 2" xfId="4435" xr:uid="{7543B052-7A58-4871-B48B-90BFAA252F04}"/>
    <cellStyle name="Percentuale 2 2 2 2 4 2 2 2 3" xfId="8030" xr:uid="{25532BBF-56FD-49EE-99B7-7788359EF287}"/>
    <cellStyle name="Percentuale 2 2 2 2 4 2 2 3" xfId="2573" xr:uid="{98289A71-EAAB-4E2B-9A09-1527F149C784}"/>
    <cellStyle name="Percentuale 2 2 2 2 4 2 2 3 2" xfId="4887" xr:uid="{2771E400-82C7-459B-A69C-B1A9566C2053}"/>
    <cellStyle name="Percentuale 2 2 2 2 4 2 2 3 3" xfId="8310" xr:uid="{0BD62D1F-E4CE-40EA-806E-874509E5FC17}"/>
    <cellStyle name="Percentuale 2 2 2 2 4 2 2 4" xfId="1511" xr:uid="{54C558FD-4327-4B37-A822-B8DE5087891B}"/>
    <cellStyle name="Percentuale 2 2 2 2 4 2 2 5" xfId="3827" xr:uid="{E41897EE-5BAB-4D67-8B6C-AAB153B2D22C}"/>
    <cellStyle name="Percentuale 2 2 2 2 4 2 2 6" xfId="7659" xr:uid="{F3780A63-5526-4FED-94EC-F8CDBF9B17CA}"/>
    <cellStyle name="Percentuale 2 2 2 2 4 2 3" xfId="738" xr:uid="{BC387CB1-88E3-489F-BE9C-AE2B38831900}"/>
    <cellStyle name="Percentuale 2 2 2 2 4 2 3 2" xfId="2196" xr:uid="{A4B549A4-9BF4-4AB1-8894-DDD708997D8C}"/>
    <cellStyle name="Percentuale 2 2 2 2 4 2 3 2 2" xfId="4510" xr:uid="{B00A9F7A-6457-4E3E-9940-493FCA46F862}"/>
    <cellStyle name="Percentuale 2 2 2 2 4 2 3 2 3" xfId="6532" xr:uid="{DF122C36-2DCC-41E6-8184-9CE6633447D4}"/>
    <cellStyle name="Percentuale 2 2 2 2 4 2 3 3" xfId="2648" xr:uid="{F4D013C9-9D3C-4F5A-96F7-F719717D5BA4}"/>
    <cellStyle name="Percentuale 2 2 2 2 4 2 3 3 2" xfId="4962" xr:uid="{71751339-66EA-498E-B61A-57B0649D8D24}"/>
    <cellStyle name="Percentuale 2 2 2 2 4 2 3 3 3" xfId="6956" xr:uid="{77DC634E-92C4-470F-AB7C-46755B65D463}"/>
    <cellStyle name="Percentuale 2 2 2 2 4 2 3 4" xfId="3023" xr:uid="{79A0A133-70CD-49B5-A3FB-0C1FB4D3675B}"/>
    <cellStyle name="Percentuale 2 2 2 2 4 2 3 4 2" xfId="5337" xr:uid="{BE5691EE-8BDE-4FE1-8BAA-3AD3CA9E1551}"/>
    <cellStyle name="Percentuale 2 2 2 2 4 2 3 4 3" xfId="7331" xr:uid="{86F5C0BB-454A-4BDA-A8C5-86070F89C510}"/>
    <cellStyle name="Percentuale 2 2 2 2 4 2 3 5" xfId="1586" xr:uid="{5F23511F-D641-4118-A632-E514F1B5AAAD}"/>
    <cellStyle name="Percentuale 2 2 2 2 4 2 3 6" xfId="3902" xr:uid="{14E213B0-A13E-42E5-9721-D0C7A4CE17B7}"/>
    <cellStyle name="Percentuale 2 2 2 2 4 2 3 7" xfId="5969" xr:uid="{424C19B7-B416-4FEF-8BBE-9D0E9095F847}"/>
    <cellStyle name="Percentuale 2 2 2 2 4 2 4" xfId="537" xr:uid="{B8D7DC31-45CB-49AD-B5CB-E4CD337ED061}"/>
    <cellStyle name="Percentuale 2 2 2 2 4 2 4 2" xfId="1996" xr:uid="{09A07BDC-6C6A-4391-9B1A-906FD9757299}"/>
    <cellStyle name="Percentuale 2 2 2 2 4 2 4 2 2" xfId="4310" xr:uid="{CB6C686B-2409-49EC-9B20-8A6D4B6BEFB6}"/>
    <cellStyle name="Percentuale 2 2 2 2 4 2 4 2 3" xfId="6351" xr:uid="{A88869E9-ACC9-4AD8-90C6-47C897FEE870}"/>
    <cellStyle name="Percentuale 2 2 2 2 4 2 4 3" xfId="2447" xr:uid="{2D2AC3FC-0222-4134-AF87-796092A2FCCA}"/>
    <cellStyle name="Percentuale 2 2 2 2 4 2 4 3 2" xfId="4761" xr:uid="{59E9C775-BB4A-4A06-A43E-7D24AAD5C491}"/>
    <cellStyle name="Percentuale 2 2 2 2 4 2 4 3 3" xfId="6771" xr:uid="{FF180DA2-D85F-4B0A-A470-219F61A3042C}"/>
    <cellStyle name="Percentuale 2 2 2 2 4 2 4 4" xfId="2852" xr:uid="{7C50D51F-D009-40A4-90C4-51F56D3163D3}"/>
    <cellStyle name="Percentuale 2 2 2 2 4 2 4 4 2" xfId="5166" xr:uid="{AAB18AF5-1FC7-4D39-B6BF-C1FA1A841EEE}"/>
    <cellStyle name="Percentuale 2 2 2 2 4 2 4 4 3" xfId="7160" xr:uid="{4C12E6E0-5AD5-4BE4-BD48-850ED1C96840}"/>
    <cellStyle name="Percentuale 2 2 2 2 4 2 4 5" xfId="1385" xr:uid="{7A8C79FF-5115-4532-9A81-B1B626D61268}"/>
    <cellStyle name="Percentuale 2 2 2 2 4 2 4 6" xfId="3701" xr:uid="{2514C46F-A347-4DBA-AF7E-B8B765912ECF}"/>
    <cellStyle name="Percentuale 2 2 2 2 4 2 4 7" xfId="5791" xr:uid="{0BD0A673-7C88-49DA-A031-F37A2F90F160}"/>
    <cellStyle name="Percentuale 2 2 2 2 4 2 5" xfId="1789" xr:uid="{B8679B12-7CEE-4F84-8AB3-9042375C2114}"/>
    <cellStyle name="Percentuale 2 2 2 2 4 2 5 2" xfId="4103" xr:uid="{F41CE79E-908D-4812-AFC5-23C631D1A172}"/>
    <cellStyle name="Percentuale 2 2 2 2 4 2 5 3" xfId="6152" xr:uid="{81C9DB2A-8498-4CEB-9573-422A89ADD5E8}"/>
    <cellStyle name="Percentuale 2 2 2 2 4 2 6" xfId="2248" xr:uid="{00620569-D054-4CB0-8682-B821AC5BBA24}"/>
    <cellStyle name="Percentuale 2 2 2 2 4 2 6 2" xfId="4562" xr:uid="{C6441035-6F88-4A37-A313-90EDBCB3D5BC}"/>
    <cellStyle name="Percentuale 2 2 2 2 4 2 6 3" xfId="6584" xr:uid="{DB6CC9DE-1A53-4061-9A45-272D011B4440}"/>
    <cellStyle name="Percentuale 2 2 2 2 4 2 7" xfId="1144" xr:uid="{AD527ABF-5475-4557-87EE-0E5312F2847F}"/>
    <cellStyle name="Percentuale 2 2 2 2 4 2 8" xfId="3493" xr:uid="{35CFD0A0-AB87-4FCB-8ACD-14DE409EEC3E}"/>
    <cellStyle name="Percentuale 2 2 2 2 4 2 9" xfId="5612" xr:uid="{D646DE13-8223-4494-A992-E500E6E72D23}"/>
    <cellStyle name="Percentuale 2 2 2 2 4 3" xfId="470" xr:uid="{5D6FB7DB-6E71-49BA-BEAD-955A475F63D1}"/>
    <cellStyle name="Percentuale 2 2 2 2 4 3 2" xfId="1937" xr:uid="{437E4C62-F996-4549-AC99-64403C0C77A5}"/>
    <cellStyle name="Percentuale 2 2 2 2 4 3 2 2" xfId="4251" xr:uid="{F1684A22-07B7-49EB-AFBA-618F579EEBAF}"/>
    <cellStyle name="Percentuale 2 2 2 2 4 3 2 3" xfId="6296" xr:uid="{40635408-3AF5-46FF-BDFB-47857CD0F50A}"/>
    <cellStyle name="Percentuale 2 2 2 2 4 3 3" xfId="2391" xr:uid="{08D96F08-5C48-416C-89EF-4EB205E5C166}"/>
    <cellStyle name="Percentuale 2 2 2 2 4 3 3 2" xfId="4705" xr:uid="{6589FAAC-2A18-4E87-B369-38374D9D7AB2}"/>
    <cellStyle name="Percentuale 2 2 2 2 4 3 3 3" xfId="6718" xr:uid="{ED981D71-F79D-429F-8743-B4EF5607C9E1}"/>
    <cellStyle name="Percentuale 2 2 2 2 4 3 4" xfId="2803" xr:uid="{C9BA3C4C-3EBF-4E2C-8898-01A97D41C6A1}"/>
    <cellStyle name="Percentuale 2 2 2 2 4 3 4 2" xfId="5117" xr:uid="{D2BDF707-69C2-4F21-A813-EF1F7B25BC09}"/>
    <cellStyle name="Percentuale 2 2 2 2 4 3 4 3" xfId="7111" xr:uid="{0C1B3CB0-D22B-4FEA-88F8-9305099C4EE6}"/>
    <cellStyle name="Percentuale 2 2 2 2 4 3 5" xfId="1318" xr:uid="{1780D636-F8F7-42F6-AB42-D3610F44E242}"/>
    <cellStyle name="Percentuale 2 2 2 2 4 3 6" xfId="3642" xr:uid="{96D5FB75-2610-446B-8A8B-03AC246D0CB9}"/>
    <cellStyle name="Percentuale 2 2 2 2 4 3 7" xfId="5740" xr:uid="{5E5AA034-A2DA-4D0D-8092-3BCF0F751456}"/>
    <cellStyle name="Percentuale 2 2 2 2 4 4" xfId="597" xr:uid="{9AF904DC-35C8-4122-8CB5-E124AC09E9B2}"/>
    <cellStyle name="Percentuale 2 2 2 2 4 4 2" xfId="2055" xr:uid="{BF4D105A-7B0A-4869-B51F-3A8B52B7F7C2}"/>
    <cellStyle name="Percentuale 2 2 2 2 4 4 2 2" xfId="4369" xr:uid="{DD4A38C3-CF76-40F9-9767-5B3F2FDBC463}"/>
    <cellStyle name="Percentuale 2 2 2 2 4 4 2 3" xfId="6410" xr:uid="{F3562ACF-201D-4C80-A794-49C25946DF79}"/>
    <cellStyle name="Percentuale 2 2 2 2 4 4 3" xfId="2507" xr:uid="{93D162E5-0188-4A8E-B306-3121F29CB85D}"/>
    <cellStyle name="Percentuale 2 2 2 2 4 4 3 2" xfId="4821" xr:uid="{BEAD2F52-81C1-4A26-BF17-6109736308BD}"/>
    <cellStyle name="Percentuale 2 2 2 2 4 4 3 3" xfId="6831" xr:uid="{45DFFF11-2FD6-491A-B762-9F8029918787}"/>
    <cellStyle name="Percentuale 2 2 2 2 4 4 4" xfId="2912" xr:uid="{952FBCBE-4850-4436-A3BF-8CC8594C312A}"/>
    <cellStyle name="Percentuale 2 2 2 2 4 4 4 2" xfId="5226" xr:uid="{B07A3C74-76E5-4D65-B788-9F9B1F567168}"/>
    <cellStyle name="Percentuale 2 2 2 2 4 4 4 3" xfId="7220" xr:uid="{BA11F4B9-2381-4078-BD21-789F9193AD28}"/>
    <cellStyle name="Percentuale 2 2 2 2 4 4 5" xfId="1445" xr:uid="{9BF68641-B48C-48A1-9099-1B548FCD73A9}"/>
    <cellStyle name="Percentuale 2 2 2 2 4 4 6" xfId="3761" xr:uid="{B5E7C5AF-1E6F-40E4-BBB7-C43B8DFF6373}"/>
    <cellStyle name="Percentuale 2 2 2 2 4 4 7" xfId="5851" xr:uid="{977EB572-C448-443E-B938-3D908A401355}"/>
    <cellStyle name="Percentuale 2 2 2 2 4 5" xfId="359" xr:uid="{E6B3629F-BE24-4DE8-B01D-8C17CC3DA90D}"/>
    <cellStyle name="Percentuale 2 2 2 2 4 5 2" xfId="1846" xr:uid="{FECCA220-8B04-4416-AFB5-5D2F2B924A47}"/>
    <cellStyle name="Percentuale 2 2 2 2 4 5 2 2" xfId="4160" xr:uid="{03F8A6B1-50E3-4B7E-A408-30240EDD8FFA}"/>
    <cellStyle name="Percentuale 2 2 2 2 4 5 2 3" xfId="6209" xr:uid="{CD032E55-8ECC-4A64-8B90-FA90F7314E77}"/>
    <cellStyle name="Percentuale 2 2 2 2 4 5 3" xfId="2301" xr:uid="{CC2B30A9-7DBC-4782-94E9-4D9B005583EC}"/>
    <cellStyle name="Percentuale 2 2 2 2 4 5 3 2" xfId="4615" xr:uid="{AA532B77-F0D8-44CC-ABC6-5045B510E79D}"/>
    <cellStyle name="Percentuale 2 2 2 2 4 5 3 3" xfId="6637" xr:uid="{D3574B38-81B8-4017-BFF4-9CB5A267006F}"/>
    <cellStyle name="Percentuale 2 2 2 2 4 5 4" xfId="2731" xr:uid="{E0214154-689A-4C17-87CA-935D3B31027A}"/>
    <cellStyle name="Percentuale 2 2 2 2 4 5 4 2" xfId="5045" xr:uid="{FBAB9A8E-3799-46BB-9753-A4615C8359E3}"/>
    <cellStyle name="Percentuale 2 2 2 2 4 5 4 3" xfId="7039" xr:uid="{271BFF2E-8345-49BF-8DB6-B76D527662A9}"/>
    <cellStyle name="Percentuale 2 2 2 2 4 5 5" xfId="1207" xr:uid="{574730FE-298A-482B-82AF-5702511067F9}"/>
    <cellStyle name="Percentuale 2 2 2 2 4 5 6" xfId="3545" xr:uid="{CB6855E0-8CC9-4948-8929-29D9D82EB873}"/>
    <cellStyle name="Percentuale 2 2 2 2 4 5 7" xfId="5665" xr:uid="{E6436362-9FE2-4AEC-9BCF-94BF7718E27C}"/>
    <cellStyle name="Percentuale 2 2 2 2 4 6" xfId="1687" xr:uid="{9FC40DC1-7747-4B87-B5CA-300BAE1D6697}"/>
    <cellStyle name="Percentuale 2 2 2 2 4 6 2" xfId="4001" xr:uid="{5B4D19B9-F154-40D6-85F7-DD8809F2B404}"/>
    <cellStyle name="Percentuale 2 2 2 2 4 6 3" xfId="6057" xr:uid="{B19685F8-ABE5-4509-804A-7C6BC6BDB906}"/>
    <cellStyle name="Percentuale 2 2 2 2 4 7" xfId="1743" xr:uid="{95D8E683-2A8E-4A47-9FDC-D95B3F60197E}"/>
    <cellStyle name="Percentuale 2 2 2 2 4 7 2" xfId="4057" xr:uid="{5A5B69BF-6C62-4E93-B20B-3699F02C952D}"/>
    <cellStyle name="Percentuale 2 2 2 2 4 7 3" xfId="6109" xr:uid="{7EF86EE1-9611-48A1-9F0C-490E40CD7AC4}"/>
    <cellStyle name="Percentuale 2 2 2 2 4 8" xfId="1007" xr:uid="{2562AB6F-01A0-4D30-9EF9-55103BB3B099}"/>
    <cellStyle name="Percentuale 2 2 2 2 4 9" xfId="3378" xr:uid="{08E16856-BE96-4B73-977B-B2E6E834FD07}"/>
    <cellStyle name="Percentuale 2 2 2 2 5" xfId="227" xr:uid="{A534F05F-1403-4567-8A1A-39B28AD0C5F4}"/>
    <cellStyle name="Percentuale 2 2 2 2 5 2" xfId="617" xr:uid="{DC8D7E59-0979-4E80-84CC-0751BB859E21}"/>
    <cellStyle name="Percentuale 2 2 2 2 5 2 2" xfId="2075" xr:uid="{95F10F28-4F30-4A90-8052-097818F59E3D}"/>
    <cellStyle name="Percentuale 2 2 2 2 5 2 2 2" xfId="4389" xr:uid="{268BEF19-C947-4E04-AA6E-8010D3F0803A}"/>
    <cellStyle name="Percentuale 2 2 2 2 5 2 2 3" xfId="7987" xr:uid="{6B19EF37-258B-462B-8323-8BF60A0B90CB}"/>
    <cellStyle name="Percentuale 2 2 2 2 5 2 3" xfId="2527" xr:uid="{6CFB2C12-E7E2-484D-A6BC-C450FF938E46}"/>
    <cellStyle name="Percentuale 2 2 2 2 5 2 3 2" xfId="4841" xr:uid="{9427F9E0-17C9-4FC3-9001-973D02EFE15F}"/>
    <cellStyle name="Percentuale 2 2 2 2 5 2 3 3" xfId="8267" xr:uid="{C6CED7F6-981D-4F38-BD00-1093799BA1B9}"/>
    <cellStyle name="Percentuale 2 2 2 2 5 2 4" xfId="1465" xr:uid="{E111F5E5-A971-496E-9F7B-0A377822A86A}"/>
    <cellStyle name="Percentuale 2 2 2 2 5 2 5" xfId="3781" xr:uid="{93B04580-5339-4D8A-BD92-0299D4784C66}"/>
    <cellStyle name="Percentuale 2 2 2 2 5 2 6" xfId="7616" xr:uid="{389BE924-2FCB-43DC-96D6-68F2131AF76E}"/>
    <cellStyle name="Percentuale 2 2 2 2 5 3" xfId="696" xr:uid="{A1798BA3-75A5-4C92-AB70-08DA24B14E05}"/>
    <cellStyle name="Percentuale 2 2 2 2 5 3 2" xfId="2154" xr:uid="{8F54745D-9E27-4E7B-B84B-D38BC127D37F}"/>
    <cellStyle name="Percentuale 2 2 2 2 5 3 2 2" xfId="4468" xr:uid="{724AD948-9E17-43EA-9D29-68F5455733D0}"/>
    <cellStyle name="Percentuale 2 2 2 2 5 3 2 3" xfId="6490" xr:uid="{10336C7E-C765-4067-AD16-FEAA76F3A127}"/>
    <cellStyle name="Percentuale 2 2 2 2 5 3 3" xfId="2606" xr:uid="{3FF4F608-F791-40C3-BBBD-399BD0FAE59D}"/>
    <cellStyle name="Percentuale 2 2 2 2 5 3 3 2" xfId="4920" xr:uid="{90ED1EDC-59E0-4BAF-8D54-1695EAF36977}"/>
    <cellStyle name="Percentuale 2 2 2 2 5 3 3 3" xfId="6914" xr:uid="{5C7ED7EE-526A-4EAD-846D-46C3BBC5C392}"/>
    <cellStyle name="Percentuale 2 2 2 2 5 3 4" xfId="2981" xr:uid="{75E996B0-9AC7-4C69-B4C5-82F122CF471E}"/>
    <cellStyle name="Percentuale 2 2 2 2 5 3 4 2" xfId="5295" xr:uid="{32C03383-0B12-4D36-A9A1-54B94AE60F59}"/>
    <cellStyle name="Percentuale 2 2 2 2 5 3 4 3" xfId="7289" xr:uid="{A48C481F-D5DD-4CBA-8FE5-6B475803CCEB}"/>
    <cellStyle name="Percentuale 2 2 2 2 5 3 5" xfId="1544" xr:uid="{D7FE7046-160B-479B-87A0-EA055A50AD82}"/>
    <cellStyle name="Percentuale 2 2 2 2 5 3 6" xfId="3860" xr:uid="{1310CC7D-9047-40D0-AB66-16F80CC2FFCB}"/>
    <cellStyle name="Percentuale 2 2 2 2 5 3 7" xfId="5927" xr:uid="{CE62C66B-D40C-4BDF-87BA-3D35A75DC851}"/>
    <cellStyle name="Percentuale 2 2 2 2 5 4" xfId="512" xr:uid="{88E85E46-1C7D-450D-94EA-643B5929A4D1}"/>
    <cellStyle name="Percentuale 2 2 2 2 5 4 2" xfId="1971" xr:uid="{0D23F89A-DAC2-4ADE-B626-46C7C5E18D30}"/>
    <cellStyle name="Percentuale 2 2 2 2 5 4 2 2" xfId="4285" xr:uid="{925B81A9-84C8-457C-8C88-F45873DE3B67}"/>
    <cellStyle name="Percentuale 2 2 2 2 5 4 2 3" xfId="6326" xr:uid="{D13ADF32-52FD-4E83-A47C-9A5EE9DD4769}"/>
    <cellStyle name="Percentuale 2 2 2 2 5 4 3" xfId="2422" xr:uid="{77565583-BBF5-4BE1-90F8-5F33E4D8BA23}"/>
    <cellStyle name="Percentuale 2 2 2 2 5 4 3 2" xfId="4736" xr:uid="{9D396741-C9D3-4B43-876F-321A4C3E3209}"/>
    <cellStyle name="Percentuale 2 2 2 2 5 4 3 3" xfId="6746" xr:uid="{F4EEF239-83BE-41BA-A5EF-2CFD39D021B4}"/>
    <cellStyle name="Percentuale 2 2 2 2 5 4 4" xfId="2827" xr:uid="{03DBE9A7-8ABB-4D4D-9FCA-E9026CFF0E88}"/>
    <cellStyle name="Percentuale 2 2 2 2 5 4 4 2" xfId="5141" xr:uid="{AAB62E19-26F7-485B-BE70-DCA552A24410}"/>
    <cellStyle name="Percentuale 2 2 2 2 5 4 4 3" xfId="7135" xr:uid="{4527A0F7-FBE7-4ED4-B17A-78DA2DABDA9C}"/>
    <cellStyle name="Percentuale 2 2 2 2 5 4 5" xfId="1360" xr:uid="{D19FF55E-D9BF-4A2D-AC50-BC2D631BE67D}"/>
    <cellStyle name="Percentuale 2 2 2 2 5 4 6" xfId="3676" xr:uid="{6180934B-B613-4611-9796-48853E66E6FA}"/>
    <cellStyle name="Percentuale 2 2 2 2 5 4 7" xfId="5766" xr:uid="{C56EFF8C-5F60-40B9-8179-AE05086F37A3}"/>
    <cellStyle name="Percentuale 2 2 2 2 5 5" xfId="1732" xr:uid="{0E85F1D3-018E-443F-A484-87393A5AEDAC}"/>
    <cellStyle name="Percentuale 2 2 2 2 5 5 2" xfId="4046" xr:uid="{F17F15D5-952D-486A-94BF-113F9B64D9AE}"/>
    <cellStyle name="Percentuale 2 2 2 2 5 5 3" xfId="6098" xr:uid="{288CF379-26AE-45B3-B20E-F2ECC8EDFA1E}"/>
    <cellStyle name="Percentuale 2 2 2 2 5 6" xfId="901" xr:uid="{DDBC4BB4-04CE-4F36-B9AE-C90FFB9A6FB5}"/>
    <cellStyle name="Percentuale 2 2 2 2 5 6 2" xfId="3284" xr:uid="{DAB24B73-E97D-4DDE-AB3D-ED39E4226B10}"/>
    <cellStyle name="Percentuale 2 2 2 2 5 6 3" xfId="3218" xr:uid="{ED08F717-2495-4C62-9CC4-B5CE1AB21D0A}"/>
    <cellStyle name="Percentuale 2 2 2 2 5 7" xfId="1075" xr:uid="{0ADEA1C6-BEBB-4FA7-A716-E2F2C622E7EB}"/>
    <cellStyle name="Percentuale 2 2 2 2 5 8" xfId="3433" xr:uid="{717F447C-879C-4B91-A5FC-D1918A3635BF}"/>
    <cellStyle name="Percentuale 2 2 2 2 5 9" xfId="5562" xr:uid="{293D69EA-A120-4388-BE4A-7C00BA6B2983}"/>
    <cellStyle name="Percentuale 2 2 2 2 6" xfId="399" xr:uid="{7A9FBF7F-F691-454F-AE51-DE9779F24D3C}"/>
    <cellStyle name="Percentuale 2 2 2 2 6 2" xfId="1879" xr:uid="{BA87F238-2554-48E2-AFBE-63204E9C2636}"/>
    <cellStyle name="Percentuale 2 2 2 2 6 2 2" xfId="4193" xr:uid="{11F964DC-11E4-431D-B9BC-EBF77B917E68}"/>
    <cellStyle name="Percentuale 2 2 2 2 6 2 3" xfId="6239" xr:uid="{88A1ACF0-D9B1-4874-A649-A05A6422AD41}"/>
    <cellStyle name="Percentuale 2 2 2 2 6 3" xfId="2336" xr:uid="{E843FDE9-F774-4FDB-9E50-3B8F68231821}"/>
    <cellStyle name="Percentuale 2 2 2 2 6 3 2" xfId="4650" xr:uid="{B864E2F7-82BA-4074-88C4-C286D7A0330C}"/>
    <cellStyle name="Percentuale 2 2 2 2 6 3 3" xfId="6665" xr:uid="{A2F8838D-ED6A-46E3-9B04-606426C05DC5}"/>
    <cellStyle name="Percentuale 2 2 2 2 6 4" xfId="2752" xr:uid="{9C30D65C-980A-46EC-A3D8-3DA34D5F1DCB}"/>
    <cellStyle name="Percentuale 2 2 2 2 6 4 2" xfId="5066" xr:uid="{3403EF72-7FEE-47FF-84C4-BCD6EBC94E68}"/>
    <cellStyle name="Percentuale 2 2 2 2 6 4 3" xfId="7060" xr:uid="{EF511346-BE68-478D-B581-AE3F5DB922A6}"/>
    <cellStyle name="Percentuale 2 2 2 2 6 5" xfId="1247" xr:uid="{4C483288-DC69-4737-9F71-D4EA02762716}"/>
    <cellStyle name="Percentuale 2 2 2 2 6 6" xfId="3579" xr:uid="{A8CB861B-20B1-4614-B65F-3D3CCBAE4A66}"/>
    <cellStyle name="Percentuale 2 2 2 2 6 7" xfId="5690" xr:uid="{67A1E330-D53C-4CE0-BA68-24B7942865EB}"/>
    <cellStyle name="Percentuale 2 2 2 2 7" xfId="554" xr:uid="{B2241659-0A59-4734-B894-7E0270AD1122}"/>
    <cellStyle name="Percentuale 2 2 2 2 7 2" xfId="2012" xr:uid="{AC86F4A0-8482-489F-ADE9-CAB0A78FA174}"/>
    <cellStyle name="Percentuale 2 2 2 2 7 2 2" xfId="4326" xr:uid="{321C417C-79F1-447B-A5F8-BF9B67C23F29}"/>
    <cellStyle name="Percentuale 2 2 2 2 7 2 3" xfId="6367" xr:uid="{A24A2F9F-2B5D-4310-94B7-EB4975CDA03B}"/>
    <cellStyle name="Percentuale 2 2 2 2 7 3" xfId="2464" xr:uid="{62F25713-2D24-4C9F-A6EC-645722399DDF}"/>
    <cellStyle name="Percentuale 2 2 2 2 7 3 2" xfId="4778" xr:uid="{C33F5B76-E3E0-4FC7-8728-529E1F0B70D6}"/>
    <cellStyle name="Percentuale 2 2 2 2 7 3 3" xfId="6788" xr:uid="{3036971E-4396-4CC0-AF83-A9C009C35C42}"/>
    <cellStyle name="Percentuale 2 2 2 2 7 4" xfId="2869" xr:uid="{8137E73F-006A-4E49-B846-823D18A0646F}"/>
    <cellStyle name="Percentuale 2 2 2 2 7 4 2" xfId="5183" xr:uid="{97B15813-FCF5-4D0F-BBE4-9EAD14C81943}"/>
    <cellStyle name="Percentuale 2 2 2 2 7 4 3" xfId="7177" xr:uid="{23D26A28-767E-41FA-B78B-D79DDA9D465B}"/>
    <cellStyle name="Percentuale 2 2 2 2 7 5" xfId="1402" xr:uid="{E20DDB41-6332-4F34-A674-B3C46B607D20}"/>
    <cellStyle name="Percentuale 2 2 2 2 7 6" xfId="3718" xr:uid="{A5BE15F3-9C09-47D3-9B99-DA138AD9344C}"/>
    <cellStyle name="Percentuale 2 2 2 2 7 7" xfId="5808" xr:uid="{E6711AFD-1599-4C23-99E8-43B9FB179C90}"/>
    <cellStyle name="Percentuale 2 2 2 2 8" xfId="936" xr:uid="{00224A0A-3BF0-4A8C-98BF-2C1424E0C178}"/>
    <cellStyle name="Percentuale 2 2 2 2 8 2" xfId="3318" xr:uid="{47B61032-6074-43EE-ACB6-4D6F3C8C2690}"/>
    <cellStyle name="Percentuale 2 2 2 2 8 3" xfId="3925" xr:uid="{ADBAD7A2-62AA-4B38-9D00-DB051DAF4B3C}"/>
    <cellStyle name="Percentuale 2 2 2 2 8 4" xfId="6449" xr:uid="{B948147B-4702-4709-B472-B1B64EE4496F}"/>
    <cellStyle name="Percentuale 2 2 2 2 9" xfId="1631" xr:uid="{70B0B3CB-CA93-4771-AF95-4F4A21DD99B9}"/>
    <cellStyle name="Percentuale 2 2 2 2 9 2" xfId="3945" xr:uid="{E6303E54-8094-4326-A19C-7F6165BDB0F9}"/>
    <cellStyle name="Percentuale 2 2 2 2 9 3" xfId="7728" xr:uid="{1839ADA6-645B-4E92-A96F-6545E60C7437}"/>
    <cellStyle name="Percentuale 2 2 2 3" xfId="106" xr:uid="{3254CB2B-B787-4B07-82E6-91531E54606A}"/>
    <cellStyle name="Percentuale 2 2 2 3 2" xfId="178" xr:uid="{CA1D3C6F-59E4-4684-AA2F-B44A90220DBE}"/>
    <cellStyle name="Percentuale 2 2 2 3 2 10" xfId="5675" xr:uid="{5149E7A0-6D85-43A5-A756-7ACC26B634E6}"/>
    <cellStyle name="Percentuale 2 2 2 3 2 2" xfId="315" xr:uid="{8DE9887C-B02A-4EB7-AFF1-699D818FFF24}"/>
    <cellStyle name="Percentuale 2 2 2 3 2 2 2" xfId="674" xr:uid="{EDAADA0F-F64B-49BC-837F-BE97E1C7C540}"/>
    <cellStyle name="Percentuale 2 2 2 3 2 2 2 2" xfId="2132" xr:uid="{966C0D09-6DC0-4B4A-AB7C-0B172DEDA724}"/>
    <cellStyle name="Percentuale 2 2 2 3 2 2 2 2 2" xfId="4446" xr:uid="{936D9A8D-801C-4A70-92A0-695D03AFDE44}"/>
    <cellStyle name="Percentuale 2 2 2 3 2 2 2 2 3" xfId="8040" xr:uid="{22F15533-34D5-4EB2-A0CA-41FC189914E6}"/>
    <cellStyle name="Percentuale 2 2 2 3 2 2 2 3" xfId="2584" xr:uid="{ADCFBADC-25C9-4DCB-A7D9-0B2E5421E1F2}"/>
    <cellStyle name="Percentuale 2 2 2 3 2 2 2 3 2" xfId="4898" xr:uid="{3DDF549D-7537-4B95-B70F-818807717C6B}"/>
    <cellStyle name="Percentuale 2 2 2 3 2 2 2 3 3" xfId="8320" xr:uid="{145FD681-B746-43F0-9C0B-03494C40BC22}"/>
    <cellStyle name="Percentuale 2 2 2 3 2 2 2 4" xfId="1522" xr:uid="{DE5810BA-522A-483C-8126-436A48373896}"/>
    <cellStyle name="Percentuale 2 2 2 3 2 2 2 5" xfId="3838" xr:uid="{13A628E0-7825-4DD3-AD25-9C52E3E5F547}"/>
    <cellStyle name="Percentuale 2 2 2 3 2 2 2 6" xfId="7669" xr:uid="{3355F2F8-0D25-4DE9-8A69-F51A1052AD45}"/>
    <cellStyle name="Percentuale 2 2 2 3 2 2 3" xfId="746" xr:uid="{2CD1E738-50B1-4A81-B56A-99090C631428}"/>
    <cellStyle name="Percentuale 2 2 2 3 2 2 3 2" xfId="2204" xr:uid="{05A21826-539A-42FC-92D8-5AF7A9E29732}"/>
    <cellStyle name="Percentuale 2 2 2 3 2 2 3 2 2" xfId="4518" xr:uid="{80ACA4D5-6FA4-4319-8098-E97FEC200563}"/>
    <cellStyle name="Percentuale 2 2 2 3 2 2 3 2 3" xfId="6540" xr:uid="{284044AA-AFA1-4350-B249-ABA729E2E94C}"/>
    <cellStyle name="Percentuale 2 2 2 3 2 2 3 3" xfId="2656" xr:uid="{43B5816D-6C1C-49DB-91EA-DA3EB128B766}"/>
    <cellStyle name="Percentuale 2 2 2 3 2 2 3 3 2" xfId="4970" xr:uid="{90348068-DF48-4E43-AB7F-97D5675CA5AD}"/>
    <cellStyle name="Percentuale 2 2 2 3 2 2 3 3 3" xfId="6964" xr:uid="{63F531E5-D2A7-4CE2-A462-77E930CE1341}"/>
    <cellStyle name="Percentuale 2 2 2 3 2 2 3 4" xfId="3031" xr:uid="{BBBF59A8-C2A0-45EC-BC21-49E94BBC2918}"/>
    <cellStyle name="Percentuale 2 2 2 3 2 2 3 4 2" xfId="5345" xr:uid="{5F5A84E6-2F95-4898-8A3B-234A597C7664}"/>
    <cellStyle name="Percentuale 2 2 2 3 2 2 3 4 3" xfId="7339" xr:uid="{CD676D27-1C2F-4A1D-8D81-A894A82345A5}"/>
    <cellStyle name="Percentuale 2 2 2 3 2 2 3 5" xfId="1594" xr:uid="{FDB2BC1B-040D-44F5-89FA-47122E20327A}"/>
    <cellStyle name="Percentuale 2 2 2 3 2 2 3 6" xfId="3910" xr:uid="{1460BFF7-FB63-412F-AB9A-E9662ED6BCDF}"/>
    <cellStyle name="Percentuale 2 2 2 3 2 2 3 7" xfId="5977" xr:uid="{EB398EB6-7CE7-48BE-816C-C4FCF4B45D08}"/>
    <cellStyle name="Percentuale 2 2 2 3 2 2 4" xfId="541" xr:uid="{AA214DA7-05B1-4F72-8B69-BC1FF2AA8AD6}"/>
    <cellStyle name="Percentuale 2 2 2 3 2 2 4 2" xfId="2000" xr:uid="{4808592B-FD13-4519-899B-DCB0EA773E7C}"/>
    <cellStyle name="Percentuale 2 2 2 3 2 2 4 2 2" xfId="4314" xr:uid="{C720A735-1419-40DE-96C4-9E6673A62736}"/>
    <cellStyle name="Percentuale 2 2 2 3 2 2 4 2 3" xfId="6355" xr:uid="{69137CDF-5EED-4CB2-A001-C9A778EC0D4A}"/>
    <cellStyle name="Percentuale 2 2 2 3 2 2 4 3" xfId="2451" xr:uid="{ED70AD13-8300-41A7-8DE8-1E577C469978}"/>
    <cellStyle name="Percentuale 2 2 2 3 2 2 4 3 2" xfId="4765" xr:uid="{7CC214F1-15A2-494F-9554-15A247F0B422}"/>
    <cellStyle name="Percentuale 2 2 2 3 2 2 4 3 3" xfId="6775" xr:uid="{DA9AD2D2-FE3F-4E6F-9BC1-47576B6119DB}"/>
    <cellStyle name="Percentuale 2 2 2 3 2 2 4 4" xfId="2856" xr:uid="{925CE95F-9FD7-407D-B92B-B80287025457}"/>
    <cellStyle name="Percentuale 2 2 2 3 2 2 4 4 2" xfId="5170" xr:uid="{1F083540-97BB-4D1C-9212-A8FB7C791920}"/>
    <cellStyle name="Percentuale 2 2 2 3 2 2 4 4 3" xfId="7164" xr:uid="{411A57EC-6E40-49A2-B496-A30E294322CD}"/>
    <cellStyle name="Percentuale 2 2 2 3 2 2 4 5" xfId="1389" xr:uid="{7FD72278-18BE-4F06-9793-372E1484A810}"/>
    <cellStyle name="Percentuale 2 2 2 3 2 2 4 6" xfId="3705" xr:uid="{F57A2DB0-FFA9-4307-A5A6-1E9BDF9BC14F}"/>
    <cellStyle name="Percentuale 2 2 2 3 2 2 4 7" xfId="5795" xr:uid="{62FCDB24-07B4-49E7-915C-D1A29804D4EB}"/>
    <cellStyle name="Percentuale 2 2 2 3 2 2 5" xfId="1805" xr:uid="{F20166BA-D5CB-41B1-9981-BAD23B550884}"/>
    <cellStyle name="Percentuale 2 2 2 3 2 2 5 2" xfId="4119" xr:uid="{301F7348-F926-4EF1-9BBB-C1F498FBBF1D}"/>
    <cellStyle name="Percentuale 2 2 2 3 2 2 5 3" xfId="6168" xr:uid="{AC8E83BA-85EF-4627-B401-0DBCA23DA600}"/>
    <cellStyle name="Percentuale 2 2 2 3 2 2 6" xfId="2262" xr:uid="{B6DB4975-91BE-4D60-9D66-D93B1AD89C4F}"/>
    <cellStyle name="Percentuale 2 2 2 3 2 2 6 2" xfId="4576" xr:uid="{CF7FBF1E-8439-4CB5-9F03-BB8F9D82F790}"/>
    <cellStyle name="Percentuale 2 2 2 3 2 2 6 3" xfId="6598" xr:uid="{BC490B01-84C1-4B21-83DD-BD8025828201}"/>
    <cellStyle name="Percentuale 2 2 2 3 2 2 7" xfId="1163" xr:uid="{23C9BC40-D274-4E2F-A179-4E32B7E1818E}"/>
    <cellStyle name="Percentuale 2 2 2 3 2 2 8" xfId="3505" xr:uid="{61EEC913-C671-4130-8924-300099099516}"/>
    <cellStyle name="Percentuale 2 2 2 3 2 2 9" xfId="5626" xr:uid="{6714E89D-0284-4483-8606-C1CA045A583D}"/>
    <cellStyle name="Percentuale 2 2 2 3 2 3" xfId="489" xr:uid="{09D1DFBC-C8F5-4FE5-A440-23CC16799EA0}"/>
    <cellStyle name="Percentuale 2 2 2 3 2 3 2" xfId="1952" xr:uid="{D0E267B2-DCFD-4393-B588-905DA1CF8DCE}"/>
    <cellStyle name="Percentuale 2 2 2 3 2 3 2 2" xfId="4266" xr:uid="{80DD315E-CE6B-429F-888A-2E13FD8BD672}"/>
    <cellStyle name="Percentuale 2 2 2 3 2 3 2 3" xfId="6309" xr:uid="{15F55FC8-0C33-4A66-92DE-84C1B30181A6}"/>
    <cellStyle name="Percentuale 2 2 2 3 2 3 3" xfId="2405" xr:uid="{6EB8AC06-12D7-46E1-9387-DE75469E84BA}"/>
    <cellStyle name="Percentuale 2 2 2 3 2 3 3 2" xfId="4719" xr:uid="{F36A8A2D-7672-4A04-9C20-C536066F0016}"/>
    <cellStyle name="Percentuale 2 2 2 3 2 3 3 3" xfId="6732" xr:uid="{E369D1D7-CF88-47BA-90DB-BDAABA0FAF46}"/>
    <cellStyle name="Percentuale 2 2 2 3 2 3 4" xfId="2813" xr:uid="{39996762-1F2F-491D-AE43-7955351066F2}"/>
    <cellStyle name="Percentuale 2 2 2 3 2 3 4 2" xfId="5127" xr:uid="{9071E737-24BF-4EC8-B84F-67DF9B0E6EDB}"/>
    <cellStyle name="Percentuale 2 2 2 3 2 3 4 3" xfId="7121" xr:uid="{F0967C92-6212-47EB-8C35-05D62BE9E245}"/>
    <cellStyle name="Percentuale 2 2 2 3 2 3 5" xfId="1337" xr:uid="{EC86CB4F-403D-4255-8F56-E1B1E98F8962}"/>
    <cellStyle name="Percentuale 2 2 2 3 2 3 6" xfId="3656" xr:uid="{D1F9D555-CE7B-4C4F-B915-9D7F90BDF996}"/>
    <cellStyle name="Percentuale 2 2 2 3 2 3 7" xfId="5750" xr:uid="{B35A2AE0-4971-4A77-A5D0-59E0F2B99A5B}"/>
    <cellStyle name="Percentuale 2 2 2 3 2 4" xfId="603" xr:uid="{DDB6EAE9-D88B-4DC0-8BF1-92FA61828EC4}"/>
    <cellStyle name="Percentuale 2 2 2 3 2 4 2" xfId="2061" xr:uid="{D789865F-CBB9-4A50-AC8B-D0C52436CF12}"/>
    <cellStyle name="Percentuale 2 2 2 3 2 4 2 2" xfId="4375" xr:uid="{7FF8D4F0-623D-4F97-AB2E-128EDEF96817}"/>
    <cellStyle name="Percentuale 2 2 2 3 2 4 2 3" xfId="6416" xr:uid="{49C6447F-CF9C-4E09-99B2-29219A085BBC}"/>
    <cellStyle name="Percentuale 2 2 2 3 2 4 3" xfId="2513" xr:uid="{F019572C-53B4-4E75-979C-4546B384ABA6}"/>
    <cellStyle name="Percentuale 2 2 2 3 2 4 3 2" xfId="4827" xr:uid="{EECF5B0F-1C49-4D11-80EB-39C27BEE912D}"/>
    <cellStyle name="Percentuale 2 2 2 3 2 4 3 3" xfId="6837" xr:uid="{AD97F7D7-CFCF-4BF9-BCBE-885E7B405BC8}"/>
    <cellStyle name="Percentuale 2 2 2 3 2 4 4" xfId="2918" xr:uid="{81C6B5B4-9FBF-4592-ADEC-14FD78268954}"/>
    <cellStyle name="Percentuale 2 2 2 3 2 4 4 2" xfId="5232" xr:uid="{D2327059-D787-4198-8770-783A601D0519}"/>
    <cellStyle name="Percentuale 2 2 2 3 2 4 4 3" xfId="7226" xr:uid="{D3F93156-31BC-476E-8D43-CD148B8B642A}"/>
    <cellStyle name="Percentuale 2 2 2 3 2 4 5" xfId="1451" xr:uid="{6F388D10-A738-430F-BA7C-66E8FB55DF16}"/>
    <cellStyle name="Percentuale 2 2 2 3 2 4 6" xfId="3767" xr:uid="{F8011989-30A5-4594-A3B3-7D98861CBF0D}"/>
    <cellStyle name="Percentuale 2 2 2 3 2 4 7" xfId="5857" xr:uid="{DB85269D-9B8A-4374-944F-2C6BAC7B1C21}"/>
    <cellStyle name="Percentuale 2 2 2 3 2 5" xfId="361" xr:uid="{0AD441C4-7F90-4038-9170-1B8DCD25D419}"/>
    <cellStyle name="Percentuale 2 2 2 3 2 5 2" xfId="1848" xr:uid="{C2F5470D-8481-45A1-9460-CE9A69DD0CE7}"/>
    <cellStyle name="Percentuale 2 2 2 3 2 5 2 2" xfId="4162" xr:uid="{F8092FA9-A485-4EAF-A911-42C17B4AF293}"/>
    <cellStyle name="Percentuale 2 2 2 3 2 5 2 3" xfId="6211" xr:uid="{F860BFE1-40E4-4C0F-B419-E3781A57D89D}"/>
    <cellStyle name="Percentuale 2 2 2 3 2 5 3" xfId="2303" xr:uid="{1A654F73-E6D2-4CEC-99D3-CAC629DA261F}"/>
    <cellStyle name="Percentuale 2 2 2 3 2 5 3 2" xfId="4617" xr:uid="{D7A4FDFA-599B-4312-BF3B-5B85536BC64D}"/>
    <cellStyle name="Percentuale 2 2 2 3 2 5 3 3" xfId="6639" xr:uid="{A18CCF5F-782A-42F8-8194-DEC6F1A8A680}"/>
    <cellStyle name="Percentuale 2 2 2 3 2 5 4" xfId="2733" xr:uid="{5F1BECD8-D97E-4134-9B95-D641815249D8}"/>
    <cellStyle name="Percentuale 2 2 2 3 2 5 4 2" xfId="5047" xr:uid="{34E46326-1BD3-4F07-881F-66A591E0C26D}"/>
    <cellStyle name="Percentuale 2 2 2 3 2 5 4 3" xfId="7041" xr:uid="{86EE8ED4-31AA-419A-AF4C-91BD3EBE68DC}"/>
    <cellStyle name="Percentuale 2 2 2 3 2 5 5" xfId="1209" xr:uid="{5C361843-0293-48A8-995A-9D570D567D1B}"/>
    <cellStyle name="Percentuale 2 2 2 3 2 5 6" xfId="3547" xr:uid="{4E58CB0B-FCA2-419F-B97A-6A6C006EC67E}"/>
    <cellStyle name="Percentuale 2 2 2 3 2 5 7" xfId="5667" xr:uid="{2C7E8F35-3BBF-400C-A274-72A1BE8DDEC9}"/>
    <cellStyle name="Percentuale 2 2 2 3 2 6" xfId="1699" xr:uid="{BCB048D9-018B-4E2D-BA09-F038727FBDBF}"/>
    <cellStyle name="Percentuale 2 2 2 3 2 6 2" xfId="4013" xr:uid="{AABA70DF-6DE2-46F7-99CC-0AC0AA3585AF}"/>
    <cellStyle name="Percentuale 2 2 2 3 2 6 3" xfId="6067" xr:uid="{F5FE58FF-6DA1-4EE9-AF5E-38992C146A62}"/>
    <cellStyle name="Percentuale 2 2 2 3 2 7" xfId="1630" xr:uid="{F79B94C7-3D5D-4163-8F1F-6AEAD78B2DF3}"/>
    <cellStyle name="Percentuale 2 2 2 3 2 7 2" xfId="3944" xr:uid="{9A2AE1D4-A9EC-4C4C-9046-8581A044B025}"/>
    <cellStyle name="Percentuale 2 2 2 3 2 7 3" xfId="6005" xr:uid="{61C799F3-16AD-4479-A9E5-27AEB5858D37}"/>
    <cellStyle name="Percentuale 2 2 2 3 2 8" xfId="1026" xr:uid="{F3C44BC2-A406-4785-9CFA-C34A7ABB24E6}"/>
    <cellStyle name="Percentuale 2 2 2 3 2 9" xfId="3392" xr:uid="{B2355A11-053B-42BC-BC75-D6C4DACF1163}"/>
    <cellStyle name="Percentuale 2 2 2 3 3" xfId="246" xr:uid="{CC014BDE-D5BF-4436-9751-0F24208CDDFD}"/>
    <cellStyle name="Percentuale 2 2 2 3 3 2" xfId="704" xr:uid="{0F39DA3C-8FCB-48DB-BEE2-31A9CEF7D4BA}"/>
    <cellStyle name="Percentuale 2 2 2 3 3 2 2" xfId="2162" xr:uid="{F036BD1C-94B3-4E93-AD19-931C40D0E77B}"/>
    <cellStyle name="Percentuale 2 2 2 3 3 2 2 2" xfId="4476" xr:uid="{E13DAC5C-2E38-453A-9518-997638487DDD}"/>
    <cellStyle name="Percentuale 2 2 2 3 3 2 2 3" xfId="6498" xr:uid="{F4F2F3B8-F819-4EF2-BD29-E04E423508E8}"/>
    <cellStyle name="Percentuale 2 2 2 3 3 2 3" xfId="2614" xr:uid="{B274E0EB-3137-4CC0-9184-F28A859171B7}"/>
    <cellStyle name="Percentuale 2 2 2 3 3 2 3 2" xfId="4928" xr:uid="{9A472EFF-33C6-470F-A9C2-1769012DB628}"/>
    <cellStyle name="Percentuale 2 2 2 3 3 2 3 3" xfId="6922" xr:uid="{637C3614-5BAA-438E-9E97-BB5E704CCC2C}"/>
    <cellStyle name="Percentuale 2 2 2 3 3 2 4" xfId="2989" xr:uid="{B2B37208-D2FC-40FC-A7F4-E97EAD2D74A3}"/>
    <cellStyle name="Percentuale 2 2 2 3 3 2 4 2" xfId="5303" xr:uid="{3DE96DC1-A819-4CB7-BB59-233EFB6F3D23}"/>
    <cellStyle name="Percentuale 2 2 2 3 3 2 4 3" xfId="7297" xr:uid="{5682E324-B234-4608-9B24-B51F369A1B7D}"/>
    <cellStyle name="Percentuale 2 2 2 3 3 2 5" xfId="1552" xr:uid="{359D4DBF-036A-45C1-9D0C-40159CA38ABC}"/>
    <cellStyle name="Percentuale 2 2 2 3 3 2 6" xfId="3868" xr:uid="{2A1152F1-6068-4C45-B33E-726656BF4070}"/>
    <cellStyle name="Percentuale 2 2 2 3 3 2 7" xfId="5935" xr:uid="{311FCA27-CD32-4B11-B31F-765EF3A5F373}"/>
    <cellStyle name="Percentuale 2 2 2 3 3 3" xfId="1746" xr:uid="{99BCB8DC-F8F0-45C0-B812-6B2CBFB88B57}"/>
    <cellStyle name="Percentuale 2 2 2 3 3 3 2" xfId="4060" xr:uid="{5CCBCE4A-F68C-473A-9B53-C122CD9CA41C}"/>
    <cellStyle name="Percentuale 2 2 2 3 3 3 3" xfId="7800" xr:uid="{EDC258E2-49D9-498A-A282-612D43A69E42}"/>
    <cellStyle name="Percentuale 2 2 2 3 3 4" xfId="1767" xr:uid="{6EF5579E-EDEC-45CC-A2F9-290E989B7120}"/>
    <cellStyle name="Percentuale 2 2 2 3 3 4 2" xfId="4081" xr:uid="{3639A116-6DC8-4463-A66C-139FCDEE9BEB}"/>
    <cellStyle name="Percentuale 2 2 2 3 3 4 3" xfId="7814" xr:uid="{0864E6F2-D0E8-4B45-A5B4-721473AA4DD7}"/>
    <cellStyle name="Percentuale 2 2 2 3 3 5" xfId="1094" xr:uid="{0FB0DAD2-21C1-4D95-B21E-226FEF396322}"/>
    <cellStyle name="Percentuale 2 2 2 3 3 6" xfId="3449" xr:uid="{4CFDD463-4716-4F70-B5F8-C2A83FD3F27C}"/>
    <cellStyle name="Percentuale 2 2 2 3 3 7" xfId="5994" xr:uid="{E7D19F7D-DDF8-4BD9-B47D-818F91FC79DA}"/>
    <cellStyle name="Percentuale 2 2 2 3 4" xfId="418" xr:uid="{14E166DF-371E-4A84-B5FE-C19E78BE8D77}"/>
    <cellStyle name="Percentuale 2 2 2 3 4 2" xfId="1894" xr:uid="{3E0CC0A3-B861-4E83-93E8-DFC91350DCE7}"/>
    <cellStyle name="Percentuale 2 2 2 3 4 2 2" xfId="4208" xr:uid="{E996121A-4326-4FE6-BD9D-25AB40C79F5D}"/>
    <cellStyle name="Percentuale 2 2 2 3 4 2 3" xfId="7886" xr:uid="{46676853-4ABF-4B96-91CF-0A49B493FD04}"/>
    <cellStyle name="Percentuale 2 2 2 3 4 3" xfId="2351" xr:uid="{35CC45B5-7E09-495D-90BF-7B8FAC3EBDC3}"/>
    <cellStyle name="Percentuale 2 2 2 3 4 3 2" xfId="4665" xr:uid="{853ADD4E-4BF5-4E44-AFCA-42BE17F0E953}"/>
    <cellStyle name="Percentuale 2 2 2 3 4 3 3" xfId="8168" xr:uid="{374C4F6C-C5F4-4F1E-979F-5FDC569765C3}"/>
    <cellStyle name="Percentuale 2 2 2 3 4 4" xfId="1266" xr:uid="{A2ECA0D2-459F-4731-8801-1840E124B151}"/>
    <cellStyle name="Percentuale 2 2 2 3 4 5" xfId="3594" xr:uid="{F743764F-50D2-4800-8587-97E4616F5690}"/>
    <cellStyle name="Percentuale 2 2 2 3 4 6" xfId="7528" xr:uid="{A7FFD172-D09D-49B9-9542-6EAD5F0C9CCD}"/>
    <cellStyle name="Percentuale 2 2 2 3 5" xfId="956" xr:uid="{9BE2B8CB-F809-41E2-B2C4-8D08739286EA}"/>
    <cellStyle name="Percentuale 2 2 2 3 5 2" xfId="3334" xr:uid="{7AD61DCE-7A2E-434B-B0D1-41F7D8638550}"/>
    <cellStyle name="Percentuale 2 2 2 3 5 3" xfId="3616" xr:uid="{13700759-FAC1-4504-A22F-71E665F1E968}"/>
    <cellStyle name="Percentuale 2 2 2 3 6" xfId="1646" xr:uid="{E173D062-2C98-462B-A402-A207D8D4A060}"/>
    <cellStyle name="Percentuale 2 2 2 3 6 2" xfId="3960" xr:uid="{1CFAA56D-D33C-4C18-B376-5128EF3F56C8}"/>
    <cellStyle name="Percentuale 2 2 2 3 6 3" xfId="7740" xr:uid="{FFCA46F6-A389-45D1-B824-B31A8DD4EF57}"/>
    <cellStyle name="Percentuale 2 2 2 3 7" xfId="856" xr:uid="{36FEE409-8B5F-45FB-9D55-692BB288493F}"/>
    <cellStyle name="Percentuale 2 2 2 3 8" xfId="3245" xr:uid="{2DFD99DB-A7F5-47D3-A5E0-272D71D62653}"/>
    <cellStyle name="Percentuale 2 2 2 3 9" xfId="828" xr:uid="{4988C92F-7994-4BA5-BA25-13EA0077902D}"/>
    <cellStyle name="Percentuale 2 2 2 4" xfId="144" xr:uid="{1D376EE1-8BBB-42C5-87D8-85BACB2BF9D8}"/>
    <cellStyle name="Percentuale 2 2 2 4 10" xfId="789" xr:uid="{150D516A-589F-47A1-A5AC-085AC5BFCCA0}"/>
    <cellStyle name="Percentuale 2 2 2 4 11" xfId="3211" xr:uid="{4DDAF5BD-2D05-4927-89D3-1E606A9771E8}"/>
    <cellStyle name="Percentuale 2 2 2 4 2" xfId="282" xr:uid="{784F5B0D-3D04-4517-A710-B218DAC73A59}"/>
    <cellStyle name="Percentuale 2 2 2 4 2 2" xfId="652" xr:uid="{C4267F7F-A62F-4F49-855D-DEDAC77F748C}"/>
    <cellStyle name="Percentuale 2 2 2 4 2 2 2" xfId="2110" xr:uid="{4B7403D4-1B21-4B3B-BB1E-85ED7977E0EF}"/>
    <cellStyle name="Percentuale 2 2 2 4 2 2 2 2" xfId="4424" xr:uid="{0FE3A260-3CDC-46A7-A551-771593FA73A2}"/>
    <cellStyle name="Percentuale 2 2 2 4 2 2 2 3" xfId="8019" xr:uid="{12D0C99E-7148-4951-824B-9A7AB73E73A2}"/>
    <cellStyle name="Percentuale 2 2 2 4 2 2 3" xfId="2562" xr:uid="{E04347B8-C2A5-45CD-AFFB-2DAA8E4E6CED}"/>
    <cellStyle name="Percentuale 2 2 2 4 2 2 3 2" xfId="4876" xr:uid="{7E8BD0EC-CC01-488D-9B71-C4CB6ACF3230}"/>
    <cellStyle name="Percentuale 2 2 2 4 2 2 3 3" xfId="8299" xr:uid="{254DE659-CC67-477A-9240-CA0BDB030051}"/>
    <cellStyle name="Percentuale 2 2 2 4 2 2 4" xfId="1500" xr:uid="{FF15780F-6133-4EAE-87A7-9FF26B70D9E3}"/>
    <cellStyle name="Percentuale 2 2 2 4 2 2 5" xfId="3816" xr:uid="{9DC00007-4D73-46E4-8BC4-BF46214F5F30}"/>
    <cellStyle name="Percentuale 2 2 2 4 2 2 6" xfId="7648" xr:uid="{F7D11495-D411-4F07-BDD7-6A5E827FA8C0}"/>
    <cellStyle name="Percentuale 2 2 2 4 2 3" xfId="727" xr:uid="{5A0E178B-C712-49FB-8F21-9FBDF9A6DECB}"/>
    <cellStyle name="Percentuale 2 2 2 4 2 3 2" xfId="2185" xr:uid="{E1586F91-FEBE-43EE-BC19-5F70A28BE9FE}"/>
    <cellStyle name="Percentuale 2 2 2 4 2 3 2 2" xfId="4499" xr:uid="{F25C07F1-63C0-404C-B4F6-302DAC3BD5EE}"/>
    <cellStyle name="Percentuale 2 2 2 4 2 3 2 3" xfId="6521" xr:uid="{C8CFC073-2592-4F41-9E8E-D4D1960C298B}"/>
    <cellStyle name="Percentuale 2 2 2 4 2 3 3" xfId="2637" xr:uid="{B02F01BA-919F-4E89-85DC-F2BCFBF61450}"/>
    <cellStyle name="Percentuale 2 2 2 4 2 3 3 2" xfId="4951" xr:uid="{B1FC4517-8BCC-4DFC-B21D-4E55AEF6E8EE}"/>
    <cellStyle name="Percentuale 2 2 2 4 2 3 3 3" xfId="6945" xr:uid="{F8B6FB1D-4441-4893-B459-BF29B06D3F7F}"/>
    <cellStyle name="Percentuale 2 2 2 4 2 3 4" xfId="3012" xr:uid="{338839E6-3878-4D3D-826B-C4D7732E0175}"/>
    <cellStyle name="Percentuale 2 2 2 4 2 3 4 2" xfId="5326" xr:uid="{9C38C4F8-9ED8-426D-905A-C198502070B2}"/>
    <cellStyle name="Percentuale 2 2 2 4 2 3 4 3" xfId="7320" xr:uid="{1E34E052-274C-4FD7-B735-D04B6FB79C8C}"/>
    <cellStyle name="Percentuale 2 2 2 4 2 3 5" xfId="1575" xr:uid="{128D9971-6C8C-4AD0-88F0-65DEA6EDB03A}"/>
    <cellStyle name="Percentuale 2 2 2 4 2 3 6" xfId="3891" xr:uid="{C89ACC00-1ACC-4326-B726-9A884A6D6960}"/>
    <cellStyle name="Percentuale 2 2 2 4 2 3 7" xfId="5958" xr:uid="{2A00BD1D-E503-417D-B303-8D9119C0C2DB}"/>
    <cellStyle name="Percentuale 2 2 2 4 2 4" xfId="532" xr:uid="{C8CE49D4-0AC7-4A3C-AB5B-B76373743045}"/>
    <cellStyle name="Percentuale 2 2 2 4 2 4 2" xfId="1991" xr:uid="{71FFD539-5003-4069-BD55-7E39480A49AF}"/>
    <cellStyle name="Percentuale 2 2 2 4 2 4 2 2" xfId="4305" xr:uid="{13E0AC8F-BDB4-4418-8331-9C07D3609EFD}"/>
    <cellStyle name="Percentuale 2 2 2 4 2 4 2 3" xfId="6346" xr:uid="{9C0013CC-10B7-406F-A863-2042EA9309A1}"/>
    <cellStyle name="Percentuale 2 2 2 4 2 4 3" xfId="2442" xr:uid="{F0CFE670-C54D-4625-8F3D-91BD187AACCD}"/>
    <cellStyle name="Percentuale 2 2 2 4 2 4 3 2" xfId="4756" xr:uid="{92171703-79FE-4770-AF01-798FB67310A0}"/>
    <cellStyle name="Percentuale 2 2 2 4 2 4 3 3" xfId="6766" xr:uid="{5287A9C0-399C-4BAA-A8DB-5629E0DB480E}"/>
    <cellStyle name="Percentuale 2 2 2 4 2 4 4" xfId="2847" xr:uid="{A765DA30-EF8C-4FAB-9F97-28DFF885B47E}"/>
    <cellStyle name="Percentuale 2 2 2 4 2 4 4 2" xfId="5161" xr:uid="{A13673F5-8DE6-4DF1-BEFC-B998A541441D}"/>
    <cellStyle name="Percentuale 2 2 2 4 2 4 4 3" xfId="7155" xr:uid="{E04EBD5B-95C6-4B29-B237-442E2F42859C}"/>
    <cellStyle name="Percentuale 2 2 2 4 2 4 5" xfId="1380" xr:uid="{BBE6DF7C-531C-475C-A39E-4F8570D3CB8B}"/>
    <cellStyle name="Percentuale 2 2 2 4 2 4 6" xfId="3696" xr:uid="{5B238180-340C-44F1-AE1A-383885F27FAD}"/>
    <cellStyle name="Percentuale 2 2 2 4 2 4 7" xfId="5786" xr:uid="{CF0A70FD-6B9B-4E7C-86CB-80210525CBBA}"/>
    <cellStyle name="Percentuale 2 2 2 4 2 5" xfId="1776" xr:uid="{3AF5F1B2-C984-4930-9DDD-03AE21F8258A}"/>
    <cellStyle name="Percentuale 2 2 2 4 2 5 2" xfId="4090" xr:uid="{A7206756-F06F-46DF-A5CD-71DF02103FC0}"/>
    <cellStyle name="Percentuale 2 2 2 4 2 5 3" xfId="6139" xr:uid="{47F16596-E37E-43D2-8011-2F212F2A5C7A}"/>
    <cellStyle name="Percentuale 2 2 2 4 2 6" xfId="2236" xr:uid="{E7D21A76-F885-44C9-B7DA-9BE49EDA0147}"/>
    <cellStyle name="Percentuale 2 2 2 4 2 6 2" xfId="4550" xr:uid="{F92FC28D-DAB0-496E-993A-7A697E9462F7}"/>
    <cellStyle name="Percentuale 2 2 2 4 2 6 3" xfId="6572" xr:uid="{C41D59C8-40CD-4037-AC02-0732E152FFEB}"/>
    <cellStyle name="Percentuale 2 2 2 4 2 7" xfId="1130" xr:uid="{398F9A3B-F0B8-49EE-B8BF-D902B21446C7}"/>
    <cellStyle name="Percentuale 2 2 2 4 2 8" xfId="3481" xr:uid="{314711E1-AB2E-482A-A9FC-A2F995731C4A}"/>
    <cellStyle name="Percentuale 2 2 2 4 2 9" xfId="5601" xr:uid="{C384A299-DE7E-4B97-B1EB-57D31A36F103}"/>
    <cellStyle name="Percentuale 2 2 2 4 3" xfId="455" xr:uid="{D5DDC447-64BB-4922-9E02-D74A6BA079B5}"/>
    <cellStyle name="Percentuale 2 2 2 4 3 2" xfId="1924" xr:uid="{590A305E-D8D6-4DEE-BDA4-1ABF37E952D0}"/>
    <cellStyle name="Percentuale 2 2 2 4 3 2 2" xfId="4238" xr:uid="{2A30E4BB-9171-445C-B350-041D57D87441}"/>
    <cellStyle name="Percentuale 2 2 2 4 3 2 3" xfId="6283" xr:uid="{A19E591C-1C9A-4DCE-AAEE-F382A7EAEABC}"/>
    <cellStyle name="Percentuale 2 2 2 4 3 3" xfId="2379" xr:uid="{343E430C-1D54-490B-92A1-6B9E8D315286}"/>
    <cellStyle name="Percentuale 2 2 2 4 3 3 2" xfId="4693" xr:uid="{70E4A7BD-D29E-40B3-8812-3A70705D0D0E}"/>
    <cellStyle name="Percentuale 2 2 2 4 3 3 3" xfId="6706" xr:uid="{791008B6-4817-4A15-AEB3-315712234CB1}"/>
    <cellStyle name="Percentuale 2 2 2 4 3 4" xfId="2790" xr:uid="{94541978-67FA-49B0-9036-856C54C1B1B2}"/>
    <cellStyle name="Percentuale 2 2 2 4 3 4 2" xfId="5104" xr:uid="{B438DA49-F14A-4EB8-B161-6F9BB553CB94}"/>
    <cellStyle name="Percentuale 2 2 2 4 3 4 3" xfId="7098" xr:uid="{D0237D71-DDC4-4F4B-A690-95A8C208BE43}"/>
    <cellStyle name="Percentuale 2 2 2 4 3 5" xfId="1303" xr:uid="{0ED7CFCF-6DC6-46EB-96DA-45F7CA4E94F3}"/>
    <cellStyle name="Percentuale 2 2 2 4 3 6" xfId="3628" xr:uid="{AC426992-85A8-44D5-B51D-B22932CE3730}"/>
    <cellStyle name="Percentuale 2 2 2 4 3 7" xfId="5727" xr:uid="{820A22B1-9206-4600-A86E-BCA2F41F607D}"/>
    <cellStyle name="Percentuale 2 2 2 4 4" xfId="587" xr:uid="{DDEAB8CF-4F94-4B7A-BDEE-23EDBFBF5098}"/>
    <cellStyle name="Percentuale 2 2 2 4 4 2" xfId="2045" xr:uid="{060D7DE0-2294-4AB3-B100-4800EE5729A1}"/>
    <cellStyle name="Percentuale 2 2 2 4 4 2 2" xfId="4359" xr:uid="{59AF8BC3-55B5-4219-8C24-A8135F4F74BE}"/>
    <cellStyle name="Percentuale 2 2 2 4 4 2 3" xfId="6400" xr:uid="{CDDC9CB3-81EA-4458-B7B4-6E5322842094}"/>
    <cellStyle name="Percentuale 2 2 2 4 4 3" xfId="2497" xr:uid="{BE045E4D-04D2-46F6-8914-DE9133956926}"/>
    <cellStyle name="Percentuale 2 2 2 4 4 3 2" xfId="4811" xr:uid="{E77D1046-258C-4021-9485-5D33C611B265}"/>
    <cellStyle name="Percentuale 2 2 2 4 4 3 3" xfId="6821" xr:uid="{ED7A8D68-F11C-46FE-ACA1-9B382F4B30DD}"/>
    <cellStyle name="Percentuale 2 2 2 4 4 4" xfId="2902" xr:uid="{00C88FBE-A1B9-4374-A605-D98E37D7AA2D}"/>
    <cellStyle name="Percentuale 2 2 2 4 4 4 2" xfId="5216" xr:uid="{84FD0249-0989-4F9D-BDE3-AFED2CA0C877}"/>
    <cellStyle name="Percentuale 2 2 2 4 4 4 3" xfId="7210" xr:uid="{E9F7EF37-BE7F-4A1B-8094-E5BE193B3EC2}"/>
    <cellStyle name="Percentuale 2 2 2 4 4 5" xfId="1435" xr:uid="{841F99A1-0899-4A49-B2B0-0AAA01995911}"/>
    <cellStyle name="Percentuale 2 2 2 4 4 6" xfId="3751" xr:uid="{33612AA9-DDD9-4A98-BECC-8C584B81DCE8}"/>
    <cellStyle name="Percentuale 2 2 2 4 4 7" xfId="5841" xr:uid="{432A1461-3AB2-444F-B673-15F20596FA69}"/>
    <cellStyle name="Percentuale 2 2 2 4 5" xfId="354" xr:uid="{391130E6-4E20-419E-8A0E-135DD9CFCB34}"/>
    <cellStyle name="Percentuale 2 2 2 4 5 2" xfId="1841" xr:uid="{30D87859-0A79-4848-A34E-09A49686A430}"/>
    <cellStyle name="Percentuale 2 2 2 4 5 2 2" xfId="4155" xr:uid="{BA7AF5B7-13A7-44BA-8C07-75E75692F2A9}"/>
    <cellStyle name="Percentuale 2 2 2 4 5 2 3" xfId="6204" xr:uid="{18E22B60-102F-43CD-8985-722F4BD2503F}"/>
    <cellStyle name="Percentuale 2 2 2 4 5 3" xfId="2296" xr:uid="{0C516957-ADED-44BE-8E37-9257B2AD24F1}"/>
    <cellStyle name="Percentuale 2 2 2 4 5 3 2" xfId="4610" xr:uid="{B2941FDD-4D65-434D-A651-C46DE58AC5CB}"/>
    <cellStyle name="Percentuale 2 2 2 4 5 3 3" xfId="6632" xr:uid="{4320476F-E76A-4CF2-BB09-912FF4D49DC5}"/>
    <cellStyle name="Percentuale 2 2 2 4 5 4" xfId="2726" xr:uid="{3B934A77-DC8F-4C9C-A4D1-2408EB1284C6}"/>
    <cellStyle name="Percentuale 2 2 2 4 5 4 2" xfId="5040" xr:uid="{14EF2FCF-5830-4C18-83F5-1D3C380C56D9}"/>
    <cellStyle name="Percentuale 2 2 2 4 5 4 3" xfId="7034" xr:uid="{298E9ECB-55F4-4915-A326-3CE6C7014E47}"/>
    <cellStyle name="Percentuale 2 2 2 4 5 5" xfId="1202" xr:uid="{63C4027B-FC2A-48C0-BF05-7ACC5222B32A}"/>
    <cellStyle name="Percentuale 2 2 2 4 5 6" xfId="3540" xr:uid="{D206EA09-52F0-4291-829D-1C3059F56606}"/>
    <cellStyle name="Percentuale 2 2 2 4 5 7" xfId="5660" xr:uid="{F162A749-D9DF-4F1D-9663-996665364226}"/>
    <cellStyle name="Percentuale 2 2 2 4 6" xfId="993" xr:uid="{063E637C-F850-46C5-8266-ABFF80B8C2C0}"/>
    <cellStyle name="Percentuale 2 2 2 4 6 2" xfId="3366" xr:uid="{A5A9A715-0C66-4914-B115-EE66A9F658B0}"/>
    <cellStyle name="Percentuale 2 2 2 4 6 3" xfId="3326" xr:uid="{D4C3C7C1-9206-4605-8526-389BAE945096}"/>
    <cellStyle name="Percentuale 2 2 2 4 6 4" xfId="3607" xr:uid="{6D350AE0-C47B-4C52-A4A1-9C16E65B7E6A}"/>
    <cellStyle name="Percentuale 2 2 2 4 7" xfId="1676" xr:uid="{0820BBC5-6038-4A81-B48C-6ED0F527E53D}"/>
    <cellStyle name="Percentuale 2 2 2 4 7 2" xfId="3990" xr:uid="{FF5B705A-8CAB-4DFF-B51E-0B999A705655}"/>
    <cellStyle name="Percentuale 2 2 2 4 7 3" xfId="6046" xr:uid="{24E5BCE9-945D-426D-8234-8E6EE7E039DC}"/>
    <cellStyle name="Percentuale 2 2 2 4 8" xfId="1686" xr:uid="{BE9650F9-D9E5-4336-B6CA-3E809B3E884E}"/>
    <cellStyle name="Percentuale 2 2 2 4 8 2" xfId="4000" xr:uid="{F27EF48E-F441-41DC-84F3-00A4483C2C99}"/>
    <cellStyle name="Percentuale 2 2 2 4 8 3" xfId="6056" xr:uid="{DE75A71E-F7A7-431D-8728-EF9C5698E7E6}"/>
    <cellStyle name="Percentuale 2 2 2 4 9" xfId="810" xr:uid="{3BD01B99-80B5-42D8-8B67-23A6A6DF0298}"/>
    <cellStyle name="Percentuale 2 2 2 5" xfId="128" xr:uid="{FE2D4EFB-B0F5-4E0E-BD1F-0E86D41A454B}"/>
    <cellStyle name="Percentuale 2 2 2 5 10" xfId="3268" xr:uid="{FDFF2EE3-D1E5-4E44-B03C-DEB215977087}"/>
    <cellStyle name="Percentuale 2 2 2 5 11" xfId="5527" xr:uid="{EF234D66-8CA5-42C8-86EA-6A49608D995F}"/>
    <cellStyle name="Percentuale 2 2 2 5 2" xfId="268" xr:uid="{785CA15D-28F9-4FF6-9AF1-9B74ED0B8E90}"/>
    <cellStyle name="Percentuale 2 2 2 5 2 2" xfId="642" xr:uid="{56062DD1-7535-44D9-A3CD-BCEA3F0C3491}"/>
    <cellStyle name="Percentuale 2 2 2 5 2 2 2" xfId="2100" xr:uid="{0CB875AF-5CED-4CDA-8691-E9A48676EBF6}"/>
    <cellStyle name="Percentuale 2 2 2 5 2 2 2 2" xfId="4414" xr:uid="{433DA890-5AE8-47F8-ABE0-1A11D4C3D2E8}"/>
    <cellStyle name="Percentuale 2 2 2 5 2 2 2 3" xfId="8011" xr:uid="{A0F5BE89-D5C6-417F-AAD0-800A10C28AEA}"/>
    <cellStyle name="Percentuale 2 2 2 5 2 2 3" xfId="2552" xr:uid="{9BE1EC87-C6C3-419D-8FA2-097A81DAB602}"/>
    <cellStyle name="Percentuale 2 2 2 5 2 2 3 2" xfId="4866" xr:uid="{A8026BDE-3BC6-40BD-BBBB-BC68A5BACA1A}"/>
    <cellStyle name="Percentuale 2 2 2 5 2 2 3 3" xfId="8291" xr:uid="{142FB84C-53FB-4A33-9963-F8A5FF9B013C}"/>
    <cellStyle name="Percentuale 2 2 2 5 2 2 4" xfId="1490" xr:uid="{DB4EFBB3-5FD2-4301-B8E9-304723D916A3}"/>
    <cellStyle name="Percentuale 2 2 2 5 2 2 5" xfId="3806" xr:uid="{A71A6FC6-1E7D-448D-B067-76479C06C328}"/>
    <cellStyle name="Percentuale 2 2 2 5 2 2 6" xfId="7640" xr:uid="{CBD28D8F-FF2E-4B65-AD4C-74E6DFAA6EDA}"/>
    <cellStyle name="Percentuale 2 2 2 5 2 3" xfId="720" xr:uid="{B104ABC9-1772-47EA-8317-7A153475801E}"/>
    <cellStyle name="Percentuale 2 2 2 5 2 3 2" xfId="2178" xr:uid="{09ACB2A8-B8CB-49B6-8C7E-54DE8AF2EEAD}"/>
    <cellStyle name="Percentuale 2 2 2 5 2 3 2 2" xfId="4492" xr:uid="{9D0D04D7-BE94-4EFC-9FAE-F787AD1803C5}"/>
    <cellStyle name="Percentuale 2 2 2 5 2 3 2 3" xfId="6514" xr:uid="{143A9ABA-FC57-40A5-AA69-7842B54473F4}"/>
    <cellStyle name="Percentuale 2 2 2 5 2 3 3" xfId="2630" xr:uid="{81191A8B-8067-4E3E-9BF3-1E409D43091A}"/>
    <cellStyle name="Percentuale 2 2 2 5 2 3 3 2" xfId="4944" xr:uid="{5A8827AA-F93F-446F-A1E7-A487FA83D061}"/>
    <cellStyle name="Percentuale 2 2 2 5 2 3 3 3" xfId="6938" xr:uid="{0A34880B-8C93-45EF-90DA-65CA60395921}"/>
    <cellStyle name="Percentuale 2 2 2 5 2 3 4" xfId="3005" xr:uid="{ADAA0D94-7F38-470C-98B0-89449BDE1A74}"/>
    <cellStyle name="Percentuale 2 2 2 5 2 3 4 2" xfId="5319" xr:uid="{DF55CDB1-37E6-4598-8168-9F229AD97E23}"/>
    <cellStyle name="Percentuale 2 2 2 5 2 3 4 3" xfId="7313" xr:uid="{213E4EB5-2EE0-4149-A484-8A80A904FEC9}"/>
    <cellStyle name="Percentuale 2 2 2 5 2 3 5" xfId="1568" xr:uid="{10778D11-D9AC-43EC-A651-1D66D21D5A77}"/>
    <cellStyle name="Percentuale 2 2 2 5 2 3 6" xfId="3884" xr:uid="{B917B090-079D-40FA-B1AE-84C31E879BBB}"/>
    <cellStyle name="Percentuale 2 2 2 5 2 3 7" xfId="5951" xr:uid="{5E23C165-D1E5-4A78-A685-26A533509A47}"/>
    <cellStyle name="Percentuale 2 2 2 5 2 4" xfId="528" xr:uid="{F3AFBA99-45D4-4A95-8872-985356A769B3}"/>
    <cellStyle name="Percentuale 2 2 2 5 2 4 2" xfId="1987" xr:uid="{94031A4E-9366-41A1-827A-19BC47358CAE}"/>
    <cellStyle name="Percentuale 2 2 2 5 2 4 2 2" xfId="4301" xr:uid="{1EF5F498-6197-4135-9BAD-5414D0D84757}"/>
    <cellStyle name="Percentuale 2 2 2 5 2 4 2 3" xfId="6342" xr:uid="{00120E1B-47E6-4E22-AB76-BC3F64688EC1}"/>
    <cellStyle name="Percentuale 2 2 2 5 2 4 3" xfId="2438" xr:uid="{B39C73CD-AA05-47F3-B69E-589A5C4989BA}"/>
    <cellStyle name="Percentuale 2 2 2 5 2 4 3 2" xfId="4752" xr:uid="{87C52077-8B84-4D60-B98F-4E754EBA8FC3}"/>
    <cellStyle name="Percentuale 2 2 2 5 2 4 3 3" xfId="6762" xr:uid="{F1B98528-90EC-4EFF-ACE1-B845B51843E3}"/>
    <cellStyle name="Percentuale 2 2 2 5 2 4 4" xfId="2843" xr:uid="{BC94E453-2C1B-4FCF-8BB4-16767B04D781}"/>
    <cellStyle name="Percentuale 2 2 2 5 2 4 4 2" xfId="5157" xr:uid="{1C40CF5E-34E0-4F3C-BE97-60404F297B5A}"/>
    <cellStyle name="Percentuale 2 2 2 5 2 4 4 3" xfId="7151" xr:uid="{7E61B6E0-D56F-4D49-B8FB-09F199B6C5CB}"/>
    <cellStyle name="Percentuale 2 2 2 5 2 4 5" xfId="1376" xr:uid="{96357557-F178-446F-BC09-9A50B40D07A0}"/>
    <cellStyle name="Percentuale 2 2 2 5 2 4 6" xfId="3692" xr:uid="{F7FD853B-7706-4EBB-A0CF-422ABD47C32E}"/>
    <cellStyle name="Percentuale 2 2 2 5 2 4 7" xfId="5782" xr:uid="{FB37B46A-F89B-434E-B4B8-718D9F2A266F}"/>
    <cellStyle name="Percentuale 2 2 2 5 2 5" xfId="1765" xr:uid="{01E5E9FF-8935-48F2-9B00-5CE69428B7B9}"/>
    <cellStyle name="Percentuale 2 2 2 5 2 5 2" xfId="4079" xr:uid="{C157D189-A8BB-48C6-9AEE-201B782364E3}"/>
    <cellStyle name="Percentuale 2 2 2 5 2 5 3" xfId="6129" xr:uid="{85DEB953-AD57-4ABA-86BB-2BE5303DD74E}"/>
    <cellStyle name="Percentuale 2 2 2 5 2 6" xfId="908" xr:uid="{5DE7ACE4-06E7-4969-BF8F-91305CBB3C17}"/>
    <cellStyle name="Percentuale 2 2 2 5 2 6 2" xfId="3290" xr:uid="{3807A904-1B89-46E3-8B31-455E21238053}"/>
    <cellStyle name="Percentuale 2 2 2 5 2 6 3" xfId="761" xr:uid="{59071725-D841-43BB-B9A1-73DEDE56F9D5}"/>
    <cellStyle name="Percentuale 2 2 2 5 2 7" xfId="1116" xr:uid="{08469449-6473-4233-84CB-B20BB1B30033}"/>
    <cellStyle name="Percentuale 2 2 2 5 2 8" xfId="3468" xr:uid="{8E022ED2-831F-4810-A99B-78ACA301BBEC}"/>
    <cellStyle name="Percentuale 2 2 2 5 2 9" xfId="5591" xr:uid="{22918232-4B57-407F-801C-B35FB3BD192D}"/>
    <cellStyle name="Percentuale 2 2 2 5 3" xfId="440" xr:uid="{85D150C7-5E67-445B-A9A1-008BD6608E4B}"/>
    <cellStyle name="Percentuale 2 2 2 5 3 2" xfId="1912" xr:uid="{1BB9B31A-1064-40C9-998B-F5B982A58297}"/>
    <cellStyle name="Percentuale 2 2 2 5 3 2 2" xfId="4226" xr:uid="{1541372D-2067-4622-A55C-0891A54D9AB4}"/>
    <cellStyle name="Percentuale 2 2 2 5 3 2 3" xfId="6271" xr:uid="{F74EECA6-8E84-4818-A6D8-21545B3D6866}"/>
    <cellStyle name="Percentuale 2 2 2 5 3 3" xfId="2368" xr:uid="{7D770B47-7E87-466F-B4D8-F2163501BD08}"/>
    <cellStyle name="Percentuale 2 2 2 5 3 3 2" xfId="4682" xr:uid="{61076850-E2C0-4F87-ABD1-2BD48EB30B69}"/>
    <cellStyle name="Percentuale 2 2 2 5 3 3 3" xfId="6695" xr:uid="{4849AA1B-DB31-4E6E-ADA1-33DBF23604A6}"/>
    <cellStyle name="Percentuale 2 2 2 5 3 4" xfId="2780" xr:uid="{5D26D1F2-4B90-4B49-94DC-FC3F6FC0424A}"/>
    <cellStyle name="Percentuale 2 2 2 5 3 4 2" xfId="5094" xr:uid="{CB01C341-D92F-43E9-9F23-B16A26C5AE6C}"/>
    <cellStyle name="Percentuale 2 2 2 5 3 4 3" xfId="7088" xr:uid="{D851CAB6-B726-47C1-A361-2EB4F5073E05}"/>
    <cellStyle name="Percentuale 2 2 2 5 3 5" xfId="1288" xr:uid="{73A7FB15-812B-40A2-B4DB-27A7A4525BE0}"/>
    <cellStyle name="Percentuale 2 2 2 5 3 6" xfId="3614" xr:uid="{04C05D6D-4CB3-441C-AA4B-AB9AB196B5E5}"/>
    <cellStyle name="Percentuale 2 2 2 5 3 7" xfId="5716" xr:uid="{F73C7CE5-2937-46F4-A706-6A019E5AAD89}"/>
    <cellStyle name="Percentuale 2 2 2 5 4" xfId="579" xr:uid="{FAF4E9AD-F81A-4A32-97DD-3612BC9384C4}"/>
    <cellStyle name="Percentuale 2 2 2 5 4 2" xfId="2037" xr:uid="{A2618824-A1AA-4AC3-B6DF-AEA4944EB76A}"/>
    <cellStyle name="Percentuale 2 2 2 5 4 2 2" xfId="4351" xr:uid="{CC939DA1-4A25-47FA-9D88-9906646FB18B}"/>
    <cellStyle name="Percentuale 2 2 2 5 4 2 3" xfId="6392" xr:uid="{9FB63E82-A86B-4B91-98DE-C9AF682A4722}"/>
    <cellStyle name="Percentuale 2 2 2 5 4 3" xfId="2489" xr:uid="{57BD6CD7-ADDA-4A83-BF11-C6F6424FDAF3}"/>
    <cellStyle name="Percentuale 2 2 2 5 4 3 2" xfId="4803" xr:uid="{D6B7B557-ECA1-4C25-90C0-8A01EFE8C39C}"/>
    <cellStyle name="Percentuale 2 2 2 5 4 3 3" xfId="6813" xr:uid="{8FD486A0-790F-45E0-B88E-51CE0F4A5040}"/>
    <cellStyle name="Percentuale 2 2 2 5 4 4" xfId="2894" xr:uid="{4572F2F7-9C30-4E48-943E-E567B328D64E}"/>
    <cellStyle name="Percentuale 2 2 2 5 4 4 2" xfId="5208" xr:uid="{9C90745B-DBC5-483F-A5DF-DD8D648B6C93}"/>
    <cellStyle name="Percentuale 2 2 2 5 4 4 3" xfId="7202" xr:uid="{8556274A-BCA9-4769-A0BE-85BE2801203E}"/>
    <cellStyle name="Percentuale 2 2 2 5 4 5" xfId="1427" xr:uid="{847CE64D-203E-45E0-8475-2683715F678D}"/>
    <cellStyle name="Percentuale 2 2 2 5 4 6" xfId="3743" xr:uid="{2951025C-281B-4CE6-927D-6C8C0B16B753}"/>
    <cellStyle name="Percentuale 2 2 2 5 4 7" xfId="5833" xr:uid="{44C60B62-762D-4BFB-80E7-859A720E2164}"/>
    <cellStyle name="Percentuale 2 2 2 5 5" xfId="350" xr:uid="{1B9AA6C6-B794-4C78-A5CE-90F8ABB834E4}"/>
    <cellStyle name="Percentuale 2 2 2 5 5 2" xfId="1837" xr:uid="{8244266C-BFA1-4D1B-A592-71F3FCAD9B97}"/>
    <cellStyle name="Percentuale 2 2 2 5 5 2 2" xfId="4151" xr:uid="{10EAF73C-505A-4FC7-BD39-2CF7C3096C7A}"/>
    <cellStyle name="Percentuale 2 2 2 5 5 2 3" xfId="6200" xr:uid="{8FAC3F16-CE77-4416-BD7B-ADEB83E1644E}"/>
    <cellStyle name="Percentuale 2 2 2 5 5 3" xfId="2292" xr:uid="{A39342E9-3473-4A84-B978-A651DC344730}"/>
    <cellStyle name="Percentuale 2 2 2 5 5 3 2" xfId="4606" xr:uid="{07720CDF-5806-4E31-8BD6-ECF28264EA4C}"/>
    <cellStyle name="Percentuale 2 2 2 5 5 3 3" xfId="6628" xr:uid="{C8A13672-6420-4BE3-A767-F3FFF5B1F74C}"/>
    <cellStyle name="Percentuale 2 2 2 5 5 4" xfId="2722" xr:uid="{81320527-58C0-4A8A-85AC-D74E06C8AF66}"/>
    <cellStyle name="Percentuale 2 2 2 5 5 4 2" xfId="5036" xr:uid="{5BF494C4-BF2F-470B-8D5C-093A6CC75624}"/>
    <cellStyle name="Percentuale 2 2 2 5 5 4 3" xfId="7030" xr:uid="{77A1E552-C880-4FDA-9D17-50656D354830}"/>
    <cellStyle name="Percentuale 2 2 2 5 5 5" xfId="1198" xr:uid="{770C9F19-F3E5-483C-9FD4-03BF2480B4E8}"/>
    <cellStyle name="Percentuale 2 2 2 5 5 6" xfId="3536" xr:uid="{F5FD37D4-5C19-42D0-9CF1-BC1A7BA8486D}"/>
    <cellStyle name="Percentuale 2 2 2 5 5 7" xfId="5656" xr:uid="{75B6AE18-966E-46E7-A4E3-CBE5B5E7832F}"/>
    <cellStyle name="Percentuale 2 2 2 5 6" xfId="978" xr:uid="{0CF68B99-69CE-4A8E-8524-0689EA24815C}"/>
    <cellStyle name="Percentuale 2 2 2 5 6 2" xfId="3353" xr:uid="{18B40778-DC78-499E-B207-5AF6F9569173}"/>
    <cellStyle name="Percentuale 2 2 2 5 6 3" xfId="3585" xr:uid="{66EC0F1C-CD0F-46D2-9B84-F872F60A5304}"/>
    <cellStyle name="Percentuale 2 2 2 5 6 4" xfId="6904" xr:uid="{A2B8EC21-F97B-4FC9-A09D-F96978640803}"/>
    <cellStyle name="Percentuale 2 2 2 5 7" xfId="1663" xr:uid="{404331ED-785A-4752-A1C1-D9FB56F46096}"/>
    <cellStyle name="Percentuale 2 2 2 5 7 2" xfId="3977" xr:uid="{4BC76C54-F055-45DE-A6B8-40C47042AC56}"/>
    <cellStyle name="Percentuale 2 2 2 5 7 3" xfId="6034" xr:uid="{D824628F-973A-4AEC-9D73-6417A179A273}"/>
    <cellStyle name="Percentuale 2 2 2 5 8" xfId="1907" xr:uid="{7D5397BC-DCD0-445B-B275-CE8EAB2F99AF}"/>
    <cellStyle name="Percentuale 2 2 2 5 8 2" xfId="4221" xr:uid="{F52E572E-E5B8-4D33-AB84-0D0D43A4DD7E}"/>
    <cellStyle name="Percentuale 2 2 2 5 8 3" xfId="6266" xr:uid="{513D64DE-87BC-400E-999B-AAA77BDE9824}"/>
    <cellStyle name="Percentuale 2 2 2 5 9" xfId="884" xr:uid="{FF3A81C9-8AA6-43EA-8B5F-981DBC654EEA}"/>
    <cellStyle name="Percentuale 2 2 2 6" xfId="212" xr:uid="{8D334A26-BD19-4CFC-8BFD-510D8802F42E}"/>
    <cellStyle name="Percentuale 2 2 2 6 2" xfId="377" xr:uid="{B3E7A38C-11C3-40ED-831D-0DA81714E378}"/>
    <cellStyle name="Percentuale 2 2 2 6 2 2" xfId="1860" xr:uid="{ADB73A64-7A23-4604-80B1-3555EA4E265C}"/>
    <cellStyle name="Percentuale 2 2 2 6 2 2 2" xfId="4174" xr:uid="{4100A844-1E09-4FD7-A6E6-356350C66C95}"/>
    <cellStyle name="Percentuale 2 2 2 6 2 2 3" xfId="6222" xr:uid="{9DD50B32-EB77-4FE4-9796-1B832BD757AF}"/>
    <cellStyle name="Percentuale 2 2 2 6 2 3" xfId="2317" xr:uid="{BFE94CCC-B7E7-4838-A3CD-6019178E8149}"/>
    <cellStyle name="Percentuale 2 2 2 6 2 3 2" xfId="4631" xr:uid="{FB5AA0FA-A1F1-4DA0-B392-2DAE7850C92C}"/>
    <cellStyle name="Percentuale 2 2 2 6 2 3 3" xfId="6651" xr:uid="{98995232-FF52-4282-8D24-77AAA0E34C1E}"/>
    <cellStyle name="Percentuale 2 2 2 6 2 4" xfId="2740" xr:uid="{CB29E62A-F2B3-458D-AC65-AAAE0F341D3C}"/>
    <cellStyle name="Percentuale 2 2 2 6 2 4 2" xfId="5054" xr:uid="{3D1D9512-D44F-4DE3-AA81-401A9B0F06B5}"/>
    <cellStyle name="Percentuale 2 2 2 6 2 4 3" xfId="7048" xr:uid="{1A2DCECC-7188-466E-8A86-5933D0367717}"/>
    <cellStyle name="Percentuale 2 2 2 6 2 5" xfId="1225" xr:uid="{98A87527-094B-4C58-82DA-7FB907FFCBE3}"/>
    <cellStyle name="Percentuale 2 2 2 6 2 6" xfId="3560" xr:uid="{3A98085A-B20C-4225-A988-306DB0216642}"/>
    <cellStyle name="Percentuale 2 2 2 6 2 7" xfId="5677" xr:uid="{2C9895D7-0B6D-499F-B56D-2CD87E0A7129}"/>
    <cellStyle name="Percentuale 2 2 2 6 3" xfId="1720" xr:uid="{F62F981E-AB97-489B-8611-8403C7B569F7}"/>
    <cellStyle name="Percentuale 2 2 2 6 3 2" xfId="4034" xr:uid="{650652E2-CD7D-43B7-82C5-88EC350D4FDB}"/>
    <cellStyle name="Percentuale 2 2 2 6 3 3" xfId="7782" xr:uid="{FF68A161-F2B3-43EC-9907-2A7C08E03A53}"/>
    <cellStyle name="Percentuale 2 2 2 6 4" xfId="894" xr:uid="{96BBFEB8-26E4-4BAD-97D3-62980E0CC775}"/>
    <cellStyle name="Percentuale 2 2 2 6 4 2" xfId="3278" xr:uid="{ADED3FD8-9CC4-4EDF-8E26-A4941601BA26}"/>
    <cellStyle name="Percentuale 2 2 2 6 4 3" xfId="6461" xr:uid="{66221C6A-7E6A-4DD6-8F0A-B2EC0A63861E}"/>
    <cellStyle name="Percentuale 2 2 2 6 5" xfId="1060" xr:uid="{EAC94F66-F444-457C-84B6-F775C9FA2AEE}"/>
    <cellStyle name="Percentuale 2 2 2 6 6" xfId="3419" xr:uid="{C841D71B-04B8-4469-8958-791B01E020F9}"/>
    <cellStyle name="Percentuale 2 2 2 6 7" xfId="3668" xr:uid="{09621924-D731-42F9-B7E0-083D06175EE4}"/>
    <cellStyle name="Percentuale 2 2 2 7" xfId="381" xr:uid="{3617E9BE-1949-45DB-9F5B-FADACA8289AF}"/>
    <cellStyle name="Percentuale 2 2 2 7 2" xfId="1863" xr:uid="{1A7F59C9-6C04-402B-B290-A461DCF3BF4C}"/>
    <cellStyle name="Percentuale 2 2 2 7 2 2" xfId="4177" xr:uid="{F8C31CE1-5E89-44D4-B9B9-31DD7D315BA2}"/>
    <cellStyle name="Percentuale 2 2 2 7 2 3" xfId="7863" xr:uid="{FF1EA207-B106-47CC-90C6-CC03502E21F1}"/>
    <cellStyle name="Percentuale 2 2 2 7 3" xfId="2320" xr:uid="{71318A06-F64F-4782-A9ED-7CE3AAF1F797}"/>
    <cellStyle name="Percentuale 2 2 2 7 3 2" xfId="4634" xr:uid="{E100ED00-F25C-4B50-BEA9-D80FFD23C8E4}"/>
    <cellStyle name="Percentuale 2 2 2 7 3 3" xfId="8146" xr:uid="{6A8C0EAD-8553-4B99-BC2A-3E04B98E8758}"/>
    <cellStyle name="Percentuale 2 2 2 7 4" xfId="1229" xr:uid="{0D2F4B0F-8094-48FE-BE98-76414BD19A27}"/>
    <cellStyle name="Percentuale 2 2 2 7 5" xfId="3564" xr:uid="{3C9B96E1-5E9C-4DD7-A46C-067DCE7FD28B}"/>
    <cellStyle name="Percentuale 2 2 2 7 6" xfId="881" xr:uid="{304D5501-FFE9-4F12-8648-EFB475C60446}"/>
    <cellStyle name="Percentuale 2 2 2 8" xfId="913" xr:uid="{07F8A601-6640-4222-8C74-22F37B3EA382}"/>
    <cellStyle name="Percentuale 2 2 2 8 2" xfId="3295" xr:uid="{94D57E9A-523C-43C5-B194-F5E38F436982}"/>
    <cellStyle name="Percentuale 2 2 2 8 3" xfId="3285" xr:uid="{CFB20D3F-6999-4355-BFB6-D6D9F7BFB95A}"/>
    <cellStyle name="Percentuale 2 2 2 9" xfId="795" xr:uid="{3484282E-7F20-4B3F-90F2-021A21A11FA4}"/>
    <cellStyle name="Percentuale 2 2 3" xfId="67" xr:uid="{00000000-0005-0000-0000-000038000000}"/>
    <cellStyle name="Percentuale 2 2 3 2" xfId="116" xr:uid="{EE7A1838-8A37-4984-88D5-B60F791CBE65}"/>
    <cellStyle name="Percentuale 2 2 3 2 2" xfId="188" xr:uid="{0C1C3F1B-2176-4F68-98D4-123AB0AF308B}"/>
    <cellStyle name="Percentuale 2 2 3 2 2 10" xfId="5744" xr:uid="{B58AD1DD-DC19-41A9-AD38-09EE7EB1B46A}"/>
    <cellStyle name="Percentuale 2 2 3 2 2 2" xfId="325" xr:uid="{CAB145F3-136B-4C55-8EB1-79D042BDF40A}"/>
    <cellStyle name="Percentuale 2 2 3 2 2 2 2" xfId="682" xr:uid="{D24AD4CC-F030-4C6F-AEE0-12FA0F45C867}"/>
    <cellStyle name="Percentuale 2 2 3 2 2 2 2 2" xfId="2140" xr:uid="{BFEFF8C9-2194-4600-99AF-C2CF6E37870B}"/>
    <cellStyle name="Percentuale 2 2 3 2 2 2 2 2 2" xfId="4454" xr:uid="{C5A0A2CF-519C-497A-AA60-8DFCB13E593F}"/>
    <cellStyle name="Percentuale 2 2 3 2 2 2 2 2 3" xfId="8048" xr:uid="{BDD5E42E-1199-403B-B9A1-2A9B725F30A1}"/>
    <cellStyle name="Percentuale 2 2 3 2 2 2 2 3" xfId="2592" xr:uid="{9C361A27-C384-4CDF-A0AD-EBAB2E7D7DFD}"/>
    <cellStyle name="Percentuale 2 2 3 2 2 2 2 3 2" xfId="4906" xr:uid="{29A047FB-8B6E-45D1-BAE0-B03951EA8875}"/>
    <cellStyle name="Percentuale 2 2 3 2 2 2 2 3 3" xfId="8328" xr:uid="{B117E09C-D923-43FA-8E79-A5B244C90C52}"/>
    <cellStyle name="Percentuale 2 2 3 2 2 2 2 4" xfId="1530" xr:uid="{6AF8372E-7A5F-4D69-B03C-1BF8F87E171A}"/>
    <cellStyle name="Percentuale 2 2 3 2 2 2 2 5" xfId="3846" xr:uid="{006B84D5-EDD9-4CCC-B2D0-9A0FF9E85C8C}"/>
    <cellStyle name="Percentuale 2 2 3 2 2 2 2 6" xfId="7677" xr:uid="{DB03F8DC-FB9B-4801-998D-6C548ECCEEC7}"/>
    <cellStyle name="Percentuale 2 2 3 2 2 2 3" xfId="754" xr:uid="{00276FAB-DD0F-4D2B-93BC-F5B6ECE55E3D}"/>
    <cellStyle name="Percentuale 2 2 3 2 2 2 3 2" xfId="2212" xr:uid="{D04FDBF1-87B4-422A-AB2D-9CD428198623}"/>
    <cellStyle name="Percentuale 2 2 3 2 2 2 3 2 2" xfId="4526" xr:uid="{9CB3146D-1AF9-43F9-955A-9B9EE4CAF143}"/>
    <cellStyle name="Percentuale 2 2 3 2 2 2 3 2 3" xfId="6548" xr:uid="{90213AC1-239C-4753-ACAA-40343ABE85DA}"/>
    <cellStyle name="Percentuale 2 2 3 2 2 2 3 3" xfId="2664" xr:uid="{A6D20F89-F276-4C72-939C-90D65264DF11}"/>
    <cellStyle name="Percentuale 2 2 3 2 2 2 3 3 2" xfId="4978" xr:uid="{D5E93E46-925F-4C34-9ED7-776C3A23DA07}"/>
    <cellStyle name="Percentuale 2 2 3 2 2 2 3 3 3" xfId="6972" xr:uid="{4491B95D-4BA8-43C6-9CCB-C16947D81048}"/>
    <cellStyle name="Percentuale 2 2 3 2 2 2 3 4" xfId="3039" xr:uid="{4F6EAD77-968B-43F7-885E-C956F092DF7F}"/>
    <cellStyle name="Percentuale 2 2 3 2 2 2 3 4 2" xfId="5353" xr:uid="{4BFF71D9-3AEA-474E-806A-C2A6DB55ECB2}"/>
    <cellStyle name="Percentuale 2 2 3 2 2 2 3 4 3" xfId="7347" xr:uid="{332B83FE-A247-4C02-B18F-86723195103E}"/>
    <cellStyle name="Percentuale 2 2 3 2 2 2 3 5" xfId="1602" xr:uid="{C5A3C586-009E-4E76-B781-B25E47C6E1D8}"/>
    <cellStyle name="Percentuale 2 2 3 2 2 2 3 6" xfId="3918" xr:uid="{1A3C69D6-2554-41F2-B159-718F87E5605E}"/>
    <cellStyle name="Percentuale 2 2 3 2 2 2 3 7" xfId="5985" xr:uid="{F3D334AB-8367-4ECE-A6F5-7521FF797278}"/>
    <cellStyle name="Percentuale 2 2 3 2 2 2 4" xfId="544" xr:uid="{C5414124-1468-414C-9FB1-08A007F10622}"/>
    <cellStyle name="Percentuale 2 2 3 2 2 2 4 2" xfId="2003" xr:uid="{F5E9CDC1-240B-4415-BB63-C908337A035B}"/>
    <cellStyle name="Percentuale 2 2 3 2 2 2 4 2 2" xfId="4317" xr:uid="{94266C58-D7DF-47C4-A1BE-4829C5617ED4}"/>
    <cellStyle name="Percentuale 2 2 3 2 2 2 4 2 3" xfId="6358" xr:uid="{C946EC8E-3D8C-4687-90AE-9D9F4CA55656}"/>
    <cellStyle name="Percentuale 2 2 3 2 2 2 4 3" xfId="2454" xr:uid="{6DAEA5EE-4055-4F72-897C-75DA28B35959}"/>
    <cellStyle name="Percentuale 2 2 3 2 2 2 4 3 2" xfId="4768" xr:uid="{9480D45D-0542-42C3-B4F0-C64B610BA37F}"/>
    <cellStyle name="Percentuale 2 2 3 2 2 2 4 3 3" xfId="6778" xr:uid="{3DFAE655-0166-45E7-A61F-DFB3CA8DC06F}"/>
    <cellStyle name="Percentuale 2 2 3 2 2 2 4 4" xfId="2859" xr:uid="{D542E440-2FCC-42E9-AFA5-8493BD9AD7F6}"/>
    <cellStyle name="Percentuale 2 2 3 2 2 2 4 4 2" xfId="5173" xr:uid="{ADF727AE-960A-4057-94BE-C9F7B722AD9D}"/>
    <cellStyle name="Percentuale 2 2 3 2 2 2 4 4 3" xfId="7167" xr:uid="{FFB7A4F7-F5C5-4C78-97BA-57C90A33A581}"/>
    <cellStyle name="Percentuale 2 2 3 2 2 2 4 5" xfId="1392" xr:uid="{51821D49-74F5-4F21-BEA5-4B1C3217473E}"/>
    <cellStyle name="Percentuale 2 2 3 2 2 2 4 6" xfId="3708" xr:uid="{62AEF20C-009A-475B-8939-506FFDBCEE3B}"/>
    <cellStyle name="Percentuale 2 2 3 2 2 2 4 7" xfId="5798" xr:uid="{E420DF5D-4010-4ABB-839D-35CC5A775697}"/>
    <cellStyle name="Percentuale 2 2 3 2 2 2 5" xfId="1813" xr:uid="{D15372B1-3558-4822-AE53-6643B048C1FF}"/>
    <cellStyle name="Percentuale 2 2 3 2 2 2 5 2" xfId="4127" xr:uid="{B9E5EDC9-EF6F-455F-BCEE-BCB64FAFB435}"/>
    <cellStyle name="Percentuale 2 2 3 2 2 2 5 3" xfId="6176" xr:uid="{5F68963D-2B7E-4D08-A961-4240549C471D}"/>
    <cellStyle name="Percentuale 2 2 3 2 2 2 6" xfId="2270" xr:uid="{F43015E0-1037-4F92-B20D-B842ACFE1699}"/>
    <cellStyle name="Percentuale 2 2 3 2 2 2 6 2" xfId="4584" xr:uid="{97228CA8-7FE2-4628-85D2-446DF5850E1A}"/>
    <cellStyle name="Percentuale 2 2 3 2 2 2 6 3" xfId="6606" xr:uid="{5D17760B-CF06-449B-A7E5-C4C157658344}"/>
    <cellStyle name="Percentuale 2 2 3 2 2 2 7" xfId="1173" xr:uid="{16A306A8-D65E-4519-A186-5F71A52C5FC9}"/>
    <cellStyle name="Percentuale 2 2 3 2 2 2 8" xfId="3513" xr:uid="{67497DA9-FD74-4200-A45E-ACC533BDFD09}"/>
    <cellStyle name="Percentuale 2 2 3 2 2 2 9" xfId="5634" xr:uid="{4F1FBDD8-77EC-49CA-BBBF-D64DDABB41AF}"/>
    <cellStyle name="Percentuale 2 2 3 2 2 3" xfId="499" xr:uid="{2E4CADE6-5B32-49B5-A097-BC6F09D9E73F}"/>
    <cellStyle name="Percentuale 2 2 3 2 2 3 2" xfId="1960" xr:uid="{D7A4A53E-4E0B-4962-A8F4-AC7FA52372AB}"/>
    <cellStyle name="Percentuale 2 2 3 2 2 3 2 2" xfId="4274" xr:uid="{7B11DCAB-2E48-4E55-AE7D-DA217A205176}"/>
    <cellStyle name="Percentuale 2 2 3 2 2 3 2 3" xfId="6316" xr:uid="{B43C4560-A17F-404B-B579-DDD8D179572A}"/>
    <cellStyle name="Percentuale 2 2 3 2 2 3 3" xfId="2413" xr:uid="{096747F2-C35F-41D9-9E4B-7E4DD6CC601A}"/>
    <cellStyle name="Percentuale 2 2 3 2 2 3 3 2" xfId="4727" xr:uid="{C1314894-3017-4DB1-81C0-49165C4F4D2A}"/>
    <cellStyle name="Percentuale 2 2 3 2 2 3 3 3" xfId="6739" xr:uid="{D7F04827-4E07-4B9F-8A24-857D0FADBD6F}"/>
    <cellStyle name="Percentuale 2 2 3 2 2 3 4" xfId="2820" xr:uid="{8831D513-7D56-457B-82F0-319EECFE87E8}"/>
    <cellStyle name="Percentuale 2 2 3 2 2 3 4 2" xfId="5134" xr:uid="{F92DEB2F-C590-4DE7-BE75-8DABA6B44F74}"/>
    <cellStyle name="Percentuale 2 2 3 2 2 3 4 3" xfId="7128" xr:uid="{12A9AF6F-93D1-49D8-8FE7-D081A8FEA74F}"/>
    <cellStyle name="Percentuale 2 2 3 2 2 3 5" xfId="1347" xr:uid="{E0A419CB-6E1E-4B8A-BF33-0D7E47EFBB2E}"/>
    <cellStyle name="Percentuale 2 2 3 2 2 3 6" xfId="3664" xr:uid="{17FB91E3-1A4D-445E-857B-641D741C04A2}"/>
    <cellStyle name="Percentuale 2 2 3 2 2 3 7" xfId="5757" xr:uid="{AF83DCF9-61F8-41A1-A610-3E67001D69A6}"/>
    <cellStyle name="Percentuale 2 2 3 2 2 4" xfId="605" xr:uid="{8E1A77ED-ED9B-4D8F-877D-D151BBFC978C}"/>
    <cellStyle name="Percentuale 2 2 3 2 2 4 2" xfId="2063" xr:uid="{6EB8B325-793B-4E6A-AEFF-26E02AD33F29}"/>
    <cellStyle name="Percentuale 2 2 3 2 2 4 2 2" xfId="4377" xr:uid="{8054EFF2-EE93-4A63-9CF7-EE09BD55DC34}"/>
    <cellStyle name="Percentuale 2 2 3 2 2 4 2 3" xfId="6418" xr:uid="{47031F4B-A2F8-472C-AEFD-BFA3CC138A46}"/>
    <cellStyle name="Percentuale 2 2 3 2 2 4 3" xfId="2515" xr:uid="{7DB144C7-4D97-4772-8454-2752AEB21254}"/>
    <cellStyle name="Percentuale 2 2 3 2 2 4 3 2" xfId="4829" xr:uid="{BEEE0F93-2E8C-4DBE-A1C6-E250B807188F}"/>
    <cellStyle name="Percentuale 2 2 3 2 2 4 3 3" xfId="6839" xr:uid="{B5251417-2814-4F88-B217-DD52E44DF385}"/>
    <cellStyle name="Percentuale 2 2 3 2 2 4 4" xfId="2920" xr:uid="{9E902C6B-7DAE-44DB-8A9A-C7C9FBEA76C0}"/>
    <cellStyle name="Percentuale 2 2 3 2 2 4 4 2" xfId="5234" xr:uid="{9B1CC892-E0EA-4741-B3C1-D76DA916FA04}"/>
    <cellStyle name="Percentuale 2 2 3 2 2 4 4 3" xfId="7228" xr:uid="{8728E0B6-70F6-4612-9A5D-75520D058BD0}"/>
    <cellStyle name="Percentuale 2 2 3 2 2 4 5" xfId="1453" xr:uid="{9BEFAAC1-308E-4EDB-BD7A-5049AA40BC4C}"/>
    <cellStyle name="Percentuale 2 2 3 2 2 4 6" xfId="3769" xr:uid="{1A21A427-9855-4AD1-BD6E-ACFB17F40679}"/>
    <cellStyle name="Percentuale 2 2 3 2 2 4 7" xfId="5859" xr:uid="{7267882F-4CEE-459B-A87A-9FE482C7E9FC}"/>
    <cellStyle name="Percentuale 2 2 3 2 2 5" xfId="363" xr:uid="{4118FB8D-A72A-4C9C-A124-4A95D1190258}"/>
    <cellStyle name="Percentuale 2 2 3 2 2 5 2" xfId="1850" xr:uid="{B3C33991-2955-406F-B5D4-4713894E4672}"/>
    <cellStyle name="Percentuale 2 2 3 2 2 5 2 2" xfId="4164" xr:uid="{0E25D8D2-8F09-4678-8062-A614F3867EE7}"/>
    <cellStyle name="Percentuale 2 2 3 2 2 5 2 3" xfId="6213" xr:uid="{A3720A6E-F72C-4C13-9385-2D9E3CF5DF31}"/>
    <cellStyle name="Percentuale 2 2 3 2 2 5 3" xfId="2305" xr:uid="{1537A8F2-4236-485B-AF26-333AA181629F}"/>
    <cellStyle name="Percentuale 2 2 3 2 2 5 3 2" xfId="4619" xr:uid="{A14E93A1-308B-4659-8A1B-D9EB07C8CFDF}"/>
    <cellStyle name="Percentuale 2 2 3 2 2 5 3 3" xfId="6641" xr:uid="{BD939E11-D02F-41E6-A6C0-CF1DD24C165D}"/>
    <cellStyle name="Percentuale 2 2 3 2 2 5 4" xfId="2735" xr:uid="{05E33418-ADE8-4F26-8137-83E005A9990F}"/>
    <cellStyle name="Percentuale 2 2 3 2 2 5 4 2" xfId="5049" xr:uid="{91661BF2-44BA-4112-B8C2-434C69F6B64D}"/>
    <cellStyle name="Percentuale 2 2 3 2 2 5 4 3" xfId="7043" xr:uid="{E5AD980E-86DE-4663-8C6A-B1AEBFA8F941}"/>
    <cellStyle name="Percentuale 2 2 3 2 2 5 5" xfId="1211" xr:uid="{FF6FDD05-1EF0-45FA-A1A6-B1BCA467856D}"/>
    <cellStyle name="Percentuale 2 2 3 2 2 5 6" xfId="3549" xr:uid="{08916B54-7786-41F4-B3B1-7D7223159CD6}"/>
    <cellStyle name="Percentuale 2 2 3 2 2 5 7" xfId="5669" xr:uid="{3693A873-6564-4B1F-8D9B-BF8FB031E40C}"/>
    <cellStyle name="Percentuale 2 2 3 2 2 6" xfId="1703" xr:uid="{C97905A8-BB28-4B77-ADA6-78070C10323F}"/>
    <cellStyle name="Percentuale 2 2 3 2 2 6 2" xfId="4017" xr:uid="{5590BEA1-96C9-4171-9186-6134959C24A0}"/>
    <cellStyle name="Percentuale 2 2 3 2 2 6 3" xfId="6071" xr:uid="{2359D58F-2EFD-4759-A038-4D22AB9CC890}"/>
    <cellStyle name="Percentuale 2 2 3 2 2 7" xfId="1709" xr:uid="{FD896602-C1EB-41A1-9685-E2A97D7002BB}"/>
    <cellStyle name="Percentuale 2 2 3 2 2 7 2" xfId="4023" xr:uid="{DE50FF21-269B-494A-BCBD-413DACBCA9EB}"/>
    <cellStyle name="Percentuale 2 2 3 2 2 7 3" xfId="6077" xr:uid="{EC1A9E67-C612-4263-A3C0-8179B39149F1}"/>
    <cellStyle name="Percentuale 2 2 3 2 2 8" xfId="1036" xr:uid="{AB19EEA8-1A27-40D0-930F-3A6BB5423F07}"/>
    <cellStyle name="Percentuale 2 2 3 2 2 9" xfId="3400" xr:uid="{FBFCF935-B435-4E95-A02B-A1069C26846C}"/>
    <cellStyle name="Percentuale 2 2 3 2 3" xfId="256" xr:uid="{E6172BB2-4A3A-4C9E-BE51-FAE012EAFDEF}"/>
    <cellStyle name="Percentuale 2 2 3 2 3 2" xfId="712" xr:uid="{9530E88C-7AE5-4A0B-9D65-8343C9024275}"/>
    <cellStyle name="Percentuale 2 2 3 2 3 2 2" xfId="2170" xr:uid="{7A048980-F301-4441-8ABA-6AF64CA8F7BE}"/>
    <cellStyle name="Percentuale 2 2 3 2 3 2 2 2" xfId="4484" xr:uid="{BFE43276-3CBA-4A1D-99DB-5DCDB70433EB}"/>
    <cellStyle name="Percentuale 2 2 3 2 3 2 2 3" xfId="6506" xr:uid="{59F9955F-4B15-4829-BAA7-501CDC864BB0}"/>
    <cellStyle name="Percentuale 2 2 3 2 3 2 3" xfId="2622" xr:uid="{071A158B-3E6D-47C1-96BE-23991393167F}"/>
    <cellStyle name="Percentuale 2 2 3 2 3 2 3 2" xfId="4936" xr:uid="{C2FDC923-96A7-4F0F-8880-1C6D0FFB8926}"/>
    <cellStyle name="Percentuale 2 2 3 2 3 2 3 3" xfId="6930" xr:uid="{921E2F6C-9401-40A3-B68E-60C11A041D1D}"/>
    <cellStyle name="Percentuale 2 2 3 2 3 2 4" xfId="2997" xr:uid="{42EBF232-1C70-4930-98B4-E9799A2926E0}"/>
    <cellStyle name="Percentuale 2 2 3 2 3 2 4 2" xfId="5311" xr:uid="{4CA6EF12-EF9C-41F6-ACE4-49A18E5991B3}"/>
    <cellStyle name="Percentuale 2 2 3 2 3 2 4 3" xfId="7305" xr:uid="{DE7289DC-5F5D-4D84-93E6-DBECB303B49A}"/>
    <cellStyle name="Percentuale 2 2 3 2 3 2 5" xfId="1560" xr:uid="{7D747DF6-E34C-43A2-A74D-AC5D2EDA9151}"/>
    <cellStyle name="Percentuale 2 2 3 2 3 2 6" xfId="3876" xr:uid="{D163B686-4DC6-4653-BFB1-DD6434C35EF6}"/>
    <cellStyle name="Percentuale 2 2 3 2 3 2 7" xfId="5943" xr:uid="{188CCFAE-E2E6-4286-954F-660A9BA03A5A}"/>
    <cellStyle name="Percentuale 2 2 3 2 3 3" xfId="1755" xr:uid="{C3FE6658-8D51-48D2-A05D-623488980FBE}"/>
    <cellStyle name="Percentuale 2 2 3 2 3 3 2" xfId="4069" xr:uid="{2278786A-1CB4-4751-82A1-772A0C0660EB}"/>
    <cellStyle name="Percentuale 2 2 3 2 3 3 3" xfId="7808" xr:uid="{E8C217C0-7178-4EA8-AE9F-E6EBC1E6754F}"/>
    <cellStyle name="Percentuale 2 2 3 2 3 4" xfId="930" xr:uid="{19D5BDA0-1BEF-4561-9879-89DDB60D4224}"/>
    <cellStyle name="Percentuale 2 2 3 2 3 4 2" xfId="3312" xr:uid="{894B4CF1-AB4B-47ED-A9F7-79AB4560CE8A}"/>
    <cellStyle name="Percentuale 2 2 3 2 3 4 3" xfId="6225" xr:uid="{77C07B0C-14B5-4803-B4CD-13A768A42DD7}"/>
    <cellStyle name="Percentuale 2 2 3 2 3 5" xfId="1104" xr:uid="{CE475FCF-A28D-407C-8243-C9EFBDA947C3}"/>
    <cellStyle name="Percentuale 2 2 3 2 3 6" xfId="3458" xr:uid="{D6F4A56B-7315-4295-BF10-E6F5BC3120C4}"/>
    <cellStyle name="Percentuale 2 2 3 2 3 7" xfId="5747" xr:uid="{4C41525A-AF63-47C0-AC01-7826E1BFF243}"/>
    <cellStyle name="Percentuale 2 2 3 2 4" xfId="428" xr:uid="{033A1A13-533F-4F49-B73A-13CBC0544537}"/>
    <cellStyle name="Percentuale 2 2 3 2 4 2" xfId="1902" xr:uid="{F3BB8A9B-B0CE-4DED-817A-A42BA5B21DAC}"/>
    <cellStyle name="Percentuale 2 2 3 2 4 2 2" xfId="4216" xr:uid="{BE4F03BD-5248-4D60-8293-0C4F88643612}"/>
    <cellStyle name="Percentuale 2 2 3 2 4 2 3" xfId="7893" xr:uid="{4782AEDE-5534-41BF-8C7A-A8FE304B247E}"/>
    <cellStyle name="Percentuale 2 2 3 2 4 3" xfId="2359" xr:uid="{9C99ADBB-04FC-4905-A2BF-2570F426B726}"/>
    <cellStyle name="Percentuale 2 2 3 2 4 3 2" xfId="4673" xr:uid="{B430AB2D-EB09-4389-9559-0036B5C0CF0E}"/>
    <cellStyle name="Percentuale 2 2 3 2 4 3 3" xfId="8175" xr:uid="{C1C64BBE-A9E6-4B85-8C1E-AEE065435A1D}"/>
    <cellStyle name="Percentuale 2 2 3 2 4 4" xfId="1276" xr:uid="{FB5E2CCB-89BE-49DF-9AF4-E75492619EE9}"/>
    <cellStyle name="Percentuale 2 2 3 2 4 5" xfId="3604" xr:uid="{B83ED6D4-20E4-45CC-92CE-500D9AF60A46}"/>
    <cellStyle name="Percentuale 2 2 3 2 4 6" xfId="7535" xr:uid="{10D5F9C6-B623-46FF-9289-E1A4F0302613}"/>
    <cellStyle name="Percentuale 2 2 3 2 5" xfId="966" xr:uid="{82C90077-0D9F-4C8D-A6D0-641C61DA0EA6}"/>
    <cellStyle name="Percentuale 2 2 3 2 5 2" xfId="3344" xr:uid="{EBD6F62E-6211-4491-9FB5-5BE50BB3DC7C}"/>
    <cellStyle name="Percentuale 2 2 3 2 5 3" xfId="3213" xr:uid="{DADBF061-6B94-4C16-B447-E6D1A589517B}"/>
    <cellStyle name="Percentuale 2 2 3 2 6" xfId="1654" xr:uid="{0594F450-133B-4CEF-AD71-695AFA98BBAA}"/>
    <cellStyle name="Percentuale 2 2 3 2 6 2" xfId="3968" xr:uid="{14BF88E2-E8C8-4B91-A26B-0BFB96E21707}"/>
    <cellStyle name="Percentuale 2 2 3 2 6 3" xfId="7747" xr:uid="{C349BB75-2699-4BC7-BC6B-132A718D9D14}"/>
    <cellStyle name="Percentuale 2 2 3 2 7" xfId="866" xr:uid="{E0CBE5FA-769C-4021-A83F-38AA4BF5BAA2}"/>
    <cellStyle name="Percentuale 2 2 3 2 8" xfId="3253" xr:uid="{B2C905F3-599F-45F8-89A3-8E7497100919}"/>
    <cellStyle name="Percentuale 2 2 3 2 9" xfId="3461" xr:uid="{9BE11C6E-C59F-4E39-A148-540711A85AF5}"/>
    <cellStyle name="Percentuale 2 2 3 3" xfId="152" xr:uid="{343212E3-9EE5-410A-ABAB-7BED0356B610}"/>
    <cellStyle name="Percentuale 2 2 3 3 10" xfId="3313" xr:uid="{3B781668-E963-4207-90EE-FC403D05DE20}"/>
    <cellStyle name="Percentuale 2 2 3 3 2" xfId="290" xr:uid="{D3985045-7285-49A9-860E-F9E10EA9A602}"/>
    <cellStyle name="Percentuale 2 2 3 3 2 2" xfId="658" xr:uid="{00F18981-706F-4267-9201-7A82278F51B7}"/>
    <cellStyle name="Percentuale 2 2 3 3 2 2 2" xfId="2116" xr:uid="{10842EB6-3FA8-47B5-9B0D-844030E7BD88}"/>
    <cellStyle name="Percentuale 2 2 3 3 2 2 2 2" xfId="4430" xr:uid="{B9A074E4-26E2-4AB5-B35C-F5B268036B21}"/>
    <cellStyle name="Percentuale 2 2 3 3 2 2 2 3" xfId="8025" xr:uid="{F9BBEF47-8099-43FB-949B-9568349C66BD}"/>
    <cellStyle name="Percentuale 2 2 3 3 2 2 3" xfId="2568" xr:uid="{2C45E7FE-8579-49A5-91FF-B3F2A28F740B}"/>
    <cellStyle name="Percentuale 2 2 3 3 2 2 3 2" xfId="4882" xr:uid="{9221CCF0-7EA4-4AF1-8995-664BF9500A9E}"/>
    <cellStyle name="Percentuale 2 2 3 3 2 2 3 3" xfId="8305" xr:uid="{D2631D02-F7E5-4BDA-A7ED-36E4866D69DB}"/>
    <cellStyle name="Percentuale 2 2 3 3 2 2 4" xfId="1506" xr:uid="{E301AABB-06A0-45F1-A64D-6A0D87946AE1}"/>
    <cellStyle name="Percentuale 2 2 3 3 2 2 5" xfId="3822" xr:uid="{4534B5B5-4F2B-4B6C-A6BD-7F2D1225E0DD}"/>
    <cellStyle name="Percentuale 2 2 3 3 2 2 6" xfId="7654" xr:uid="{2DF2AF8F-9FBE-4B20-BFBC-E93A4C8FB6EA}"/>
    <cellStyle name="Percentuale 2 2 3 3 2 3" xfId="733" xr:uid="{6DA149BC-07FA-4DC5-A53D-FE9A0640130B}"/>
    <cellStyle name="Percentuale 2 2 3 3 2 3 2" xfId="2191" xr:uid="{C9DFA4BD-EC89-48E4-84BB-CC9CDE05F110}"/>
    <cellStyle name="Percentuale 2 2 3 3 2 3 2 2" xfId="4505" xr:uid="{6C6106DA-5D14-4B62-8983-BD52B8934051}"/>
    <cellStyle name="Percentuale 2 2 3 3 2 3 2 3" xfId="6527" xr:uid="{160A3139-27CA-4476-AAAC-34BA9AC3ADC4}"/>
    <cellStyle name="Percentuale 2 2 3 3 2 3 3" xfId="2643" xr:uid="{DC51CC25-63EC-4BE1-A530-2D9C660D079C}"/>
    <cellStyle name="Percentuale 2 2 3 3 2 3 3 2" xfId="4957" xr:uid="{5A441A8E-E7D9-4350-981E-85790B2BB79F}"/>
    <cellStyle name="Percentuale 2 2 3 3 2 3 3 3" xfId="6951" xr:uid="{A0CB6486-152C-4014-AE90-0B283AB94CC3}"/>
    <cellStyle name="Percentuale 2 2 3 3 2 3 4" xfId="3018" xr:uid="{52780ECA-CCF1-4237-9AF2-4EF9764F2FD4}"/>
    <cellStyle name="Percentuale 2 2 3 3 2 3 4 2" xfId="5332" xr:uid="{72918E64-46B0-491B-92BB-1B384DC7018C}"/>
    <cellStyle name="Percentuale 2 2 3 3 2 3 4 3" xfId="7326" xr:uid="{782AE786-4255-4542-86C7-23C705F9901F}"/>
    <cellStyle name="Percentuale 2 2 3 3 2 3 5" xfId="1581" xr:uid="{EE79137F-AAEB-423E-9D9A-D289E23C1FA9}"/>
    <cellStyle name="Percentuale 2 2 3 3 2 3 6" xfId="3897" xr:uid="{5845A028-0293-4C8C-A4D1-ADF8BF9A6CDD}"/>
    <cellStyle name="Percentuale 2 2 3 3 2 3 7" xfId="5964" xr:uid="{223353C9-CC3E-4646-A41A-B2361C345167}"/>
    <cellStyle name="Percentuale 2 2 3 3 2 4" xfId="534" xr:uid="{DF12F607-CE18-49B4-83C0-E8FBBD084A0A}"/>
    <cellStyle name="Percentuale 2 2 3 3 2 4 2" xfId="1993" xr:uid="{F5A405C8-4F09-46F5-8AAE-823093540276}"/>
    <cellStyle name="Percentuale 2 2 3 3 2 4 2 2" xfId="4307" xr:uid="{90854FED-BBC9-458C-B97C-CE6890C83E37}"/>
    <cellStyle name="Percentuale 2 2 3 3 2 4 2 3" xfId="6348" xr:uid="{37DF95CA-3A86-4D63-8808-4A18D52D6D94}"/>
    <cellStyle name="Percentuale 2 2 3 3 2 4 3" xfId="2444" xr:uid="{BC0D8689-B88B-4E0A-BBD2-9FF346AE8127}"/>
    <cellStyle name="Percentuale 2 2 3 3 2 4 3 2" xfId="4758" xr:uid="{ADD145FB-FB00-42B2-980D-71F42C8D7AA2}"/>
    <cellStyle name="Percentuale 2 2 3 3 2 4 3 3" xfId="6768" xr:uid="{1B85B73F-3E49-43FD-9608-75810FDAC6BA}"/>
    <cellStyle name="Percentuale 2 2 3 3 2 4 4" xfId="2849" xr:uid="{AA9BFF32-C030-40AF-871A-217C5AC0DF2C}"/>
    <cellStyle name="Percentuale 2 2 3 3 2 4 4 2" xfId="5163" xr:uid="{B4146FE5-3999-4762-8EC5-2FFE9724E54C}"/>
    <cellStyle name="Percentuale 2 2 3 3 2 4 4 3" xfId="7157" xr:uid="{A19E094D-85E3-4FCF-9AC8-5AF043CB0CEA}"/>
    <cellStyle name="Percentuale 2 2 3 3 2 4 5" xfId="1382" xr:uid="{A31805EF-D4D4-403C-834B-A0E8CAD4EA10}"/>
    <cellStyle name="Percentuale 2 2 3 3 2 4 6" xfId="3698" xr:uid="{D6F0DFCA-D0CB-44BD-8681-565AA62FA424}"/>
    <cellStyle name="Percentuale 2 2 3 3 2 4 7" xfId="5788" xr:uid="{0BC8CF1C-5D61-4708-85C3-E39180003D24}"/>
    <cellStyle name="Percentuale 2 2 3 3 2 5" xfId="1783" xr:uid="{B0E345E4-D594-4B72-9B32-E52A7A8B64ED}"/>
    <cellStyle name="Percentuale 2 2 3 3 2 5 2" xfId="4097" xr:uid="{A315DD47-0CCE-4207-A4AB-F7101E54A58B}"/>
    <cellStyle name="Percentuale 2 2 3 3 2 5 3" xfId="6146" xr:uid="{6625D232-2E52-4128-BDF0-2F87456987AF}"/>
    <cellStyle name="Percentuale 2 2 3 3 2 6" xfId="2243" xr:uid="{FE3FF300-669F-4809-B67F-0D37166AB6FE}"/>
    <cellStyle name="Percentuale 2 2 3 3 2 6 2" xfId="4557" xr:uid="{DE0FA718-AA80-4A44-8A7C-6693039CC78B}"/>
    <cellStyle name="Percentuale 2 2 3 3 2 6 3" xfId="6579" xr:uid="{142DDD4A-FF52-4C1A-9EAC-D6008681B02E}"/>
    <cellStyle name="Percentuale 2 2 3 3 2 7" xfId="1138" xr:uid="{EC6D1D75-2A38-4FDE-BA17-867EE8CB4A9A}"/>
    <cellStyle name="Percentuale 2 2 3 3 2 8" xfId="3488" xr:uid="{32CA7F3D-A5BC-4DDE-B617-CEAB8280CFE1}"/>
    <cellStyle name="Percentuale 2 2 3 3 2 9" xfId="5607" xr:uid="{F44F2632-08E4-4418-8E2F-DEDC063796AF}"/>
    <cellStyle name="Percentuale 2 2 3 3 3" xfId="463" xr:uid="{2645F2C1-FF79-42C7-BFF3-43FEA4C4C392}"/>
    <cellStyle name="Percentuale 2 2 3 3 3 2" xfId="1930" xr:uid="{56730646-A310-4A12-B0D2-2798EA13C985}"/>
    <cellStyle name="Percentuale 2 2 3 3 3 2 2" xfId="4244" xr:uid="{416AC433-60DE-4A53-9E6E-1EA47CAB6541}"/>
    <cellStyle name="Percentuale 2 2 3 3 3 2 3" xfId="6289" xr:uid="{A97692FA-DA4C-4EAF-9E6B-682FBEC6876A}"/>
    <cellStyle name="Percentuale 2 2 3 3 3 3" xfId="2385" xr:uid="{2571184A-77D5-493E-84C3-10C1A8CD3A85}"/>
    <cellStyle name="Percentuale 2 2 3 3 3 3 2" xfId="4699" xr:uid="{EB86446B-B723-4375-83A3-E801D60716EC}"/>
    <cellStyle name="Percentuale 2 2 3 3 3 3 3" xfId="6712" xr:uid="{10D1DF34-42C7-4CD1-B37C-F24AFEEF27CB}"/>
    <cellStyle name="Percentuale 2 2 3 3 3 4" xfId="2796" xr:uid="{472B7642-768E-458C-A446-31293DAF80C0}"/>
    <cellStyle name="Percentuale 2 2 3 3 3 4 2" xfId="5110" xr:uid="{C7144D92-7491-4AD9-BE49-5E61D0F3E9EF}"/>
    <cellStyle name="Percentuale 2 2 3 3 3 4 3" xfId="7104" xr:uid="{490C035B-D8E9-4D05-AFB3-51E55A3C333D}"/>
    <cellStyle name="Percentuale 2 2 3 3 3 5" xfId="1311" xr:uid="{69066E6F-F644-4F52-B542-846AEE97C99C}"/>
    <cellStyle name="Percentuale 2 2 3 3 3 6" xfId="3635" xr:uid="{87B99370-78A4-40BB-97B1-19DEC1B50F1B}"/>
    <cellStyle name="Percentuale 2 2 3 3 3 7" xfId="5733" xr:uid="{16B414A9-F29D-45DC-A098-04872024FDA4}"/>
    <cellStyle name="Percentuale 2 2 3 3 4" xfId="593" xr:uid="{CD4865F8-2C0A-4BBF-B98A-38917F339299}"/>
    <cellStyle name="Percentuale 2 2 3 3 4 2" xfId="2051" xr:uid="{665E198F-3FA7-44BA-8616-998267B3F37F}"/>
    <cellStyle name="Percentuale 2 2 3 3 4 2 2" xfId="4365" xr:uid="{8E224A3D-AB16-4D52-A8AF-C8BF795ECE6E}"/>
    <cellStyle name="Percentuale 2 2 3 3 4 2 3" xfId="6406" xr:uid="{CFA3E0A0-2980-45DB-ADE1-D9929E55AAC5}"/>
    <cellStyle name="Percentuale 2 2 3 3 4 3" xfId="2503" xr:uid="{1D406C21-43FB-468F-A97E-DE45BE7F31AF}"/>
    <cellStyle name="Percentuale 2 2 3 3 4 3 2" xfId="4817" xr:uid="{CF5487C2-6890-4D22-A154-5DE94DAD09F9}"/>
    <cellStyle name="Percentuale 2 2 3 3 4 3 3" xfId="6827" xr:uid="{E91950D4-D188-438F-B5F5-01C63E831DFF}"/>
    <cellStyle name="Percentuale 2 2 3 3 4 4" xfId="2908" xr:uid="{6E4F234B-91EA-4C77-9220-46DBDBAE5D6E}"/>
    <cellStyle name="Percentuale 2 2 3 3 4 4 2" xfId="5222" xr:uid="{2BA4C247-AB58-4886-86F1-B48BB729676F}"/>
    <cellStyle name="Percentuale 2 2 3 3 4 4 3" xfId="7216" xr:uid="{E8B7B773-A3E4-4004-9A9C-95D4FD6223BF}"/>
    <cellStyle name="Percentuale 2 2 3 3 4 5" xfId="1441" xr:uid="{8B9F821F-241C-4EC3-B6EA-96A692EA98C6}"/>
    <cellStyle name="Percentuale 2 2 3 3 4 6" xfId="3757" xr:uid="{A954BC40-1208-4BDD-B6D4-59A08AD91C0E}"/>
    <cellStyle name="Percentuale 2 2 3 3 4 7" xfId="5847" xr:uid="{E45A0BAD-C27D-49D9-AE06-18BF8D7E672B}"/>
    <cellStyle name="Percentuale 2 2 3 3 5" xfId="356" xr:uid="{A584714A-2626-4C89-BECF-DCF8762FB2AC}"/>
    <cellStyle name="Percentuale 2 2 3 3 5 2" xfId="1843" xr:uid="{39813D80-D352-4F02-AF59-77F3DD41C968}"/>
    <cellStyle name="Percentuale 2 2 3 3 5 2 2" xfId="4157" xr:uid="{F0F4CF76-8488-4BF0-ACEC-C55F846DEFC0}"/>
    <cellStyle name="Percentuale 2 2 3 3 5 2 3" xfId="6206" xr:uid="{E842B0DE-BBA1-427D-BD57-84F6BA5D3DBA}"/>
    <cellStyle name="Percentuale 2 2 3 3 5 3" xfId="2298" xr:uid="{D0F9938E-1D22-46B6-BF22-6911BFF46C95}"/>
    <cellStyle name="Percentuale 2 2 3 3 5 3 2" xfId="4612" xr:uid="{286F68DD-4E90-4F2E-87CF-C881C73FEC52}"/>
    <cellStyle name="Percentuale 2 2 3 3 5 3 3" xfId="6634" xr:uid="{A07B9833-D8AD-4DBE-B42C-3555F0BC8E36}"/>
    <cellStyle name="Percentuale 2 2 3 3 5 4" xfId="2728" xr:uid="{2C3067BF-30F6-4C5F-9DF1-A78A99F1812A}"/>
    <cellStyle name="Percentuale 2 2 3 3 5 4 2" xfId="5042" xr:uid="{582D47A2-F384-49F9-A826-938FD65DDD4B}"/>
    <cellStyle name="Percentuale 2 2 3 3 5 4 3" xfId="7036" xr:uid="{9A59EE7E-0903-458F-B435-AFF7F791F1DC}"/>
    <cellStyle name="Percentuale 2 2 3 3 5 5" xfId="1204" xr:uid="{89762A41-803A-4EE3-8098-E7FE9F45B4BC}"/>
    <cellStyle name="Percentuale 2 2 3 3 5 6" xfId="3542" xr:uid="{E125AE01-E7D0-423B-919A-CEE92085A766}"/>
    <cellStyle name="Percentuale 2 2 3 3 5 7" xfId="5662" xr:uid="{2CF9E87B-D2EE-420F-B691-7887FF6C4713}"/>
    <cellStyle name="Percentuale 2 2 3 3 6" xfId="1683" xr:uid="{9C6171CF-4AAB-4357-BDE1-8FEE625D399F}"/>
    <cellStyle name="Percentuale 2 2 3 3 6 2" xfId="3997" xr:uid="{33308F06-3CB4-4F87-8853-98F6B3AF27B3}"/>
    <cellStyle name="Percentuale 2 2 3 3 6 3" xfId="6053" xr:uid="{0B1E1E86-648D-41A0-BFF7-C0CFA5E90ADD}"/>
    <cellStyle name="Percentuale 2 2 3 3 7" xfId="2224" xr:uid="{3245BBDB-C9B1-4CB1-A97A-57A605C35795}"/>
    <cellStyle name="Percentuale 2 2 3 3 7 2" xfId="4538" xr:uid="{33C95F60-5641-49DE-BFB6-25FF5275456E}"/>
    <cellStyle name="Percentuale 2 2 3 3 7 3" xfId="6560" xr:uid="{819FA237-E0CA-4EBB-9BAF-BE01F003EB1B}"/>
    <cellStyle name="Percentuale 2 2 3 3 8" xfId="1001" xr:uid="{232F09D9-1BC8-4DAC-B010-3E66CF8AACDA}"/>
    <cellStyle name="Percentuale 2 2 3 3 9" xfId="3372" xr:uid="{2EC7599B-94DC-481C-8295-2901357A862A}"/>
    <cellStyle name="Percentuale 2 2 3 4" xfId="220" xr:uid="{9E57A3BB-260A-4DE0-89EB-47F7DF0C2122}"/>
    <cellStyle name="Percentuale 2 2 3 4 2" xfId="691" xr:uid="{D8FB1596-07B4-489B-BB00-BEED1D12680B}"/>
    <cellStyle name="Percentuale 2 2 3 4 2 2" xfId="2149" xr:uid="{98EF40D9-67EA-4001-8D25-E3AEF53A58B6}"/>
    <cellStyle name="Percentuale 2 2 3 4 2 2 2" xfId="4463" xr:uid="{4C13A000-02EC-4963-907C-EB2DBE7C4930}"/>
    <cellStyle name="Percentuale 2 2 3 4 2 2 3" xfId="6485" xr:uid="{00E91A8B-E889-4D64-8BF8-9D71248952DA}"/>
    <cellStyle name="Percentuale 2 2 3 4 2 3" xfId="2601" xr:uid="{AC4FB829-2392-463A-A327-048AA4CA3054}"/>
    <cellStyle name="Percentuale 2 2 3 4 2 3 2" xfId="4915" xr:uid="{E0076BC4-F23D-4EED-AA32-B73825A2D865}"/>
    <cellStyle name="Percentuale 2 2 3 4 2 3 3" xfId="6909" xr:uid="{81D9BBB7-14E1-4EE8-B2E5-099A63009442}"/>
    <cellStyle name="Percentuale 2 2 3 4 2 4" xfId="2976" xr:uid="{81152D44-6228-4D08-87AD-398E9387DA14}"/>
    <cellStyle name="Percentuale 2 2 3 4 2 4 2" xfId="5290" xr:uid="{F2EF7C9B-5BE7-45C4-BF15-7568350FAEF6}"/>
    <cellStyle name="Percentuale 2 2 3 4 2 4 3" xfId="7284" xr:uid="{FA0926D7-20E1-4DD7-9B06-EFB7DBB0D938}"/>
    <cellStyle name="Percentuale 2 2 3 4 2 5" xfId="1539" xr:uid="{393A67D2-3AA9-4D52-A285-1AB6F6953459}"/>
    <cellStyle name="Percentuale 2 2 3 4 2 6" xfId="3855" xr:uid="{550DDFC2-84BF-434F-A09C-BC2E6346D9DD}"/>
    <cellStyle name="Percentuale 2 2 3 4 2 7" xfId="5922" xr:uid="{DEEF3E09-4E59-4451-9679-CC8750CCDE51}"/>
    <cellStyle name="Percentuale 2 2 3 4 3" xfId="1726" xr:uid="{7A858118-999E-48EB-810B-1F4D388573A1}"/>
    <cellStyle name="Percentuale 2 2 3 4 3 2" xfId="4040" xr:uid="{F11F0792-3A32-4D32-A039-51484A8AE369}"/>
    <cellStyle name="Percentuale 2 2 3 4 3 3" xfId="7788" xr:uid="{9BCABBF2-7F58-4C02-9B14-AAF430FDC392}"/>
    <cellStyle name="Percentuale 2 2 3 4 4" xfId="1735" xr:uid="{2C7A4720-C3D6-4F74-8891-7E9C0881A9CF}"/>
    <cellStyle name="Percentuale 2 2 3 4 4 2" xfId="4049" xr:uid="{789BB30F-AE0B-4E4E-BAD0-270DB5E9D6A2}"/>
    <cellStyle name="Percentuale 2 2 3 4 4 3" xfId="7793" xr:uid="{EEC1BBCA-8BBF-40A6-B968-7D160471CFBB}"/>
    <cellStyle name="Percentuale 2 2 3 4 5" xfId="1068" xr:uid="{21C9D2BB-430D-4A5F-9BDF-FEE702A05519}"/>
    <cellStyle name="Percentuale 2 2 3 4 6" xfId="3426" xr:uid="{32AD8855-C698-4B34-91C9-5118DBDF1874}"/>
    <cellStyle name="Percentuale 2 2 3 4 7" xfId="5710" xr:uid="{2FD5567C-6EBC-4414-B920-6444862A410C}"/>
    <cellStyle name="Percentuale 2 2 3 5" xfId="392" xr:uid="{93E03AF7-B120-456B-8EC7-91212281529A}"/>
    <cellStyle name="Percentuale 2 2 3 5 2" xfId="1873" xr:uid="{CECEDDA0-4E5C-4ED2-9ADB-DC067825F699}"/>
    <cellStyle name="Percentuale 2 2 3 5 2 2" xfId="4187" xr:uid="{6E36FE3B-C5A5-4E43-8C48-2ABC8C3026E8}"/>
    <cellStyle name="Percentuale 2 2 3 5 2 3" xfId="7871" xr:uid="{940FB797-2FB7-4B61-AB30-511AB11B659D}"/>
    <cellStyle name="Percentuale 2 2 3 5 3" xfId="2330" xr:uid="{ACFB837E-B996-412A-9270-D11F0642D3F6}"/>
    <cellStyle name="Percentuale 2 2 3 5 3 2" xfId="4644" xr:uid="{D359157D-6563-4717-8CC0-EB92D6C6A2B1}"/>
    <cellStyle name="Percentuale 2 2 3 5 3 3" xfId="8154" xr:uid="{6D0A5DC2-1594-462C-8A86-7547C5252085}"/>
    <cellStyle name="Percentuale 2 2 3 5 4" xfId="1240" xr:uid="{75642E68-63AF-443F-A0B0-17317C8B5F78}"/>
    <cellStyle name="Percentuale 2 2 3 5 5" xfId="3573" xr:uid="{20F23C52-827A-45F9-AFE6-58EC668A9E2A}"/>
    <cellStyle name="Percentuale 2 2 3 5 6" xfId="7519" xr:uid="{A4584CC8-4A77-4191-B3FB-FA61EC7E10C6}"/>
    <cellStyle name="Percentuale 2 2 3 6" xfId="923" xr:uid="{1D01FED2-74F9-452D-AD0B-920DCFDA5FDC}"/>
    <cellStyle name="Percentuale 2 2 3 6 2" xfId="3305" xr:uid="{72041789-D475-4B48-97C0-C6BEFAB3254B}"/>
    <cellStyle name="Percentuale 2 2 3 6 3" xfId="3617" xr:uid="{BEF42AC3-F9CA-4382-AEC0-45CA777AFB40}"/>
    <cellStyle name="Percentuale 2 2 3 7" xfId="826" xr:uid="{20976E96-E85A-4986-ADB0-F90778F7B314}"/>
    <cellStyle name="Percentuale 2 2 3 8" xfId="3222" xr:uid="{C568485F-06D4-4F1C-A1C3-12AA2B8B782D}"/>
    <cellStyle name="Percentuale 2 2 3 9" xfId="3651" xr:uid="{9F9CBC8B-62F4-4EA0-8695-2A04F4A794AB}"/>
    <cellStyle name="Percentuale 2 2 4" xfId="73" xr:uid="{9D3823E6-6E59-407D-965B-E47F4E2B89E8}"/>
    <cellStyle name="Percentuale 2 2 4 10" xfId="3434" xr:uid="{24F94984-C543-40B3-95C5-F4DFCFC78D54}"/>
    <cellStyle name="Percentuale 2 2 4 2" xfId="125" xr:uid="{207F9290-EB0A-4FA9-AA6C-F0A88490BAC6}"/>
    <cellStyle name="Percentuale 2 2 4 2 10" xfId="875" xr:uid="{844F38CB-29CE-4CD1-AA5D-D559A9C1B424}"/>
    <cellStyle name="Percentuale 2 2 4 2 11" xfId="3260" xr:uid="{8835C640-1CCE-40D5-AD1A-F41C3A04293D}"/>
    <cellStyle name="Percentuale 2 2 4 2 12" xfId="6857" xr:uid="{3874AD5F-2DD8-438C-810F-4B6075BD25D6}"/>
    <cellStyle name="Percentuale 2 2 4 2 2" xfId="197" xr:uid="{7121C2E1-ADF4-44B1-A4BC-5ACCAA95EF8A}"/>
    <cellStyle name="Percentuale 2 2 4 2 2 2" xfId="334" xr:uid="{603587BC-B10A-434B-BA09-77FA4EF93B11}"/>
    <cellStyle name="Percentuale 2 2 4 2 2 2 2" xfId="687" xr:uid="{D3EDD384-EA32-41D6-B549-5698703054F0}"/>
    <cellStyle name="Percentuale 2 2 4 2 2 2 2 2" xfId="2145" xr:uid="{F9C5ED6E-FA05-4BAC-9C9E-A6BB8F05DE2A}"/>
    <cellStyle name="Percentuale 2 2 4 2 2 2 2 2 2" xfId="4459" xr:uid="{16A71989-3449-4321-99E2-0270AA5123EB}"/>
    <cellStyle name="Percentuale 2 2 4 2 2 2 2 2 3" xfId="8053" xr:uid="{09A83E8E-085A-4A09-BAA3-095D4A1ECE03}"/>
    <cellStyle name="Percentuale 2 2 4 2 2 2 2 3" xfId="2597" xr:uid="{0467A2FD-8B54-40E4-B360-3993D7DF051C}"/>
    <cellStyle name="Percentuale 2 2 4 2 2 2 2 3 2" xfId="4911" xr:uid="{8AACC87A-9508-4DEC-854F-58654D4E6649}"/>
    <cellStyle name="Percentuale 2 2 4 2 2 2 2 3 3" xfId="8333" xr:uid="{65229290-CFD6-4B69-983B-D04ABF520C0D}"/>
    <cellStyle name="Percentuale 2 2 4 2 2 2 2 4" xfId="1535" xr:uid="{D635B3C3-3247-4A41-B03B-8F01ABFE1766}"/>
    <cellStyle name="Percentuale 2 2 4 2 2 2 2 5" xfId="3851" xr:uid="{AA65D77C-FBD2-4D31-9389-A17BCBD634D4}"/>
    <cellStyle name="Percentuale 2 2 4 2 2 2 2 6" xfId="7682" xr:uid="{18CC2A03-7C39-4D43-A28E-B715E51D8294}"/>
    <cellStyle name="Percentuale 2 2 4 2 2 2 3" xfId="759" xr:uid="{3C1D20CD-87FC-40F0-B8EF-731CBE3556C0}"/>
    <cellStyle name="Percentuale 2 2 4 2 2 2 3 2" xfId="2217" xr:uid="{73ECD37C-4443-4248-B3D3-16CFB00C9D1F}"/>
    <cellStyle name="Percentuale 2 2 4 2 2 2 3 2 2" xfId="4531" xr:uid="{EB626EAA-5420-4022-8A31-8C46D7D2922D}"/>
    <cellStyle name="Percentuale 2 2 4 2 2 2 3 2 3" xfId="6553" xr:uid="{99D3FCA1-1339-4C90-8F48-519639F36148}"/>
    <cellStyle name="Percentuale 2 2 4 2 2 2 3 3" xfId="2669" xr:uid="{580C56A4-51C5-4FCC-8BB5-30A2F46EBB17}"/>
    <cellStyle name="Percentuale 2 2 4 2 2 2 3 3 2" xfId="4983" xr:uid="{5A9C6C7C-02BB-46C0-80C3-5217EC787C16}"/>
    <cellStyle name="Percentuale 2 2 4 2 2 2 3 3 3" xfId="6977" xr:uid="{7232A983-DDDF-4E2C-9797-380310BE7600}"/>
    <cellStyle name="Percentuale 2 2 4 2 2 2 3 4" xfId="3044" xr:uid="{B65E5200-873F-45E1-B90D-8E1A4B3D0DA5}"/>
    <cellStyle name="Percentuale 2 2 4 2 2 2 3 4 2" xfId="5358" xr:uid="{DF249C94-6587-4C34-B129-0D284F7EC4F3}"/>
    <cellStyle name="Percentuale 2 2 4 2 2 2 3 4 3" xfId="7352" xr:uid="{15AB50F1-41E7-43FF-AF69-81BD8A141967}"/>
    <cellStyle name="Percentuale 2 2 4 2 2 2 3 5" xfId="1607" xr:uid="{DCCC08D4-2422-4939-8179-C8C96C80227E}"/>
    <cellStyle name="Percentuale 2 2 4 2 2 2 3 6" xfId="3923" xr:uid="{E5ED4C34-90AB-453B-87FC-06F6B7867BDF}"/>
    <cellStyle name="Percentuale 2 2 4 2 2 2 3 7" xfId="5990" xr:uid="{546085C4-B928-4149-8D8D-0C3F0ADBD46B}"/>
    <cellStyle name="Percentuale 2 2 4 2 2 2 4" xfId="547" xr:uid="{B17A93E9-5712-4B30-AFB3-5FCF14AECF0C}"/>
    <cellStyle name="Percentuale 2 2 4 2 2 2 4 2" xfId="2006" xr:uid="{CD9E1576-DBEB-4030-9767-4D9AC698E769}"/>
    <cellStyle name="Percentuale 2 2 4 2 2 2 4 2 2" xfId="4320" xr:uid="{E1D32AEE-9D52-4A46-A5E1-3CD8887AF02F}"/>
    <cellStyle name="Percentuale 2 2 4 2 2 2 4 2 3" xfId="6361" xr:uid="{8913BA8F-5B80-43BC-8B80-3A870AF452BA}"/>
    <cellStyle name="Percentuale 2 2 4 2 2 2 4 3" xfId="2457" xr:uid="{7DFC3788-C3E5-45A4-BF7D-BF980F86C739}"/>
    <cellStyle name="Percentuale 2 2 4 2 2 2 4 3 2" xfId="4771" xr:uid="{732590A1-832F-4870-8514-09124D01A250}"/>
    <cellStyle name="Percentuale 2 2 4 2 2 2 4 3 3" xfId="6781" xr:uid="{84C4F3D7-2B7A-463F-B714-687D47EF333C}"/>
    <cellStyle name="Percentuale 2 2 4 2 2 2 4 4" xfId="2862" xr:uid="{9E066D1F-A108-4FA2-886A-8D76FD941C41}"/>
    <cellStyle name="Percentuale 2 2 4 2 2 2 4 4 2" xfId="5176" xr:uid="{49206688-4234-438B-8E89-A93272AFEE3B}"/>
    <cellStyle name="Percentuale 2 2 4 2 2 2 4 4 3" xfId="7170" xr:uid="{1EAFE951-2F88-4D2D-BC5F-E1B506F36AF4}"/>
    <cellStyle name="Percentuale 2 2 4 2 2 2 4 5" xfId="1395" xr:uid="{82577588-5ECF-4269-A2A8-6359B038A966}"/>
    <cellStyle name="Percentuale 2 2 4 2 2 2 4 6" xfId="3711" xr:uid="{691E61C1-E8DA-4C99-B947-66488EBBAE76}"/>
    <cellStyle name="Percentuale 2 2 4 2 2 2 4 7" xfId="5801" xr:uid="{9F79DE36-03BF-40AE-BB7E-5C899FE772CC}"/>
    <cellStyle name="Percentuale 2 2 4 2 2 2 5" xfId="1821" xr:uid="{F66F758A-4715-42DD-83AC-AC0C3374BAC7}"/>
    <cellStyle name="Percentuale 2 2 4 2 2 2 5 2" xfId="4135" xr:uid="{F084DDD3-8821-4781-B2E5-35253ED06202}"/>
    <cellStyle name="Percentuale 2 2 4 2 2 2 5 3" xfId="6184" xr:uid="{BCBB0573-DCF0-410F-84B7-0931202D3F6B}"/>
    <cellStyle name="Percentuale 2 2 4 2 2 2 6" xfId="2276" xr:uid="{A76DB6D2-71CC-421E-8EB5-C36EF28B522F}"/>
    <cellStyle name="Percentuale 2 2 4 2 2 2 6 2" xfId="4590" xr:uid="{161CF8C5-736F-443E-8F88-AC412BBC966B}"/>
    <cellStyle name="Percentuale 2 2 4 2 2 2 6 3" xfId="6612" xr:uid="{A7E20C5B-0702-40C0-8642-83205F0D8112}"/>
    <cellStyle name="Percentuale 2 2 4 2 2 2 7" xfId="1182" xr:uid="{DB9EEA75-C339-48A6-9204-B182DBFEA432}"/>
    <cellStyle name="Percentuale 2 2 4 2 2 2 8" xfId="3520" xr:uid="{5CDE463F-34E2-4503-870F-0A4B011B597F}"/>
    <cellStyle name="Percentuale 2 2 4 2 2 2 9" xfId="5640" xr:uid="{85882D34-65E5-44FF-ABF5-3CBA633E4A4A}"/>
    <cellStyle name="Percentuale 2 2 4 2 2 3" xfId="508" xr:uid="{23E07FCE-9F27-440F-B1EF-EEEE83DD1B9C}"/>
    <cellStyle name="Percentuale 2 2 4 2 2 3 2" xfId="1967" xr:uid="{111547D3-659A-43E3-88B0-7E00BD8946D6}"/>
    <cellStyle name="Percentuale 2 2 4 2 2 3 2 2" xfId="4281" xr:uid="{8445D5B2-7463-4C25-886B-C75E917CE1B5}"/>
    <cellStyle name="Percentuale 2 2 4 2 2 3 2 3" xfId="7937" xr:uid="{90154A7C-0963-47E8-AD61-3459B27FDB00}"/>
    <cellStyle name="Percentuale 2 2 4 2 2 3 3" xfId="2418" xr:uid="{FFF21F59-327C-4FD8-833C-7E940AC122A1}"/>
    <cellStyle name="Percentuale 2 2 4 2 2 3 3 2" xfId="4732" xr:uid="{57100D2A-37CE-456A-90DC-6FE3320519E9}"/>
    <cellStyle name="Percentuale 2 2 4 2 2 3 3 3" xfId="8216" xr:uid="{1093F7E3-5DDE-41C7-BCBC-7D3EC9DFAE01}"/>
    <cellStyle name="Percentuale 2 2 4 2 2 3 4" xfId="1356" xr:uid="{1171DDB0-419E-4D99-8445-9FAED0F1DD95}"/>
    <cellStyle name="Percentuale 2 2 4 2 2 3 5" xfId="3672" xr:uid="{0422D4E2-14F0-4A5D-A670-7B661ADD0BC0}"/>
    <cellStyle name="Percentuale 2 2 4 2 2 3 6" xfId="7566" xr:uid="{650C7291-A9C9-4B58-B363-73388A8D371A}"/>
    <cellStyle name="Percentuale 2 2 4 2 2 4" xfId="581" xr:uid="{3187FFB3-1A3E-4715-A5AB-20AD7309AE3B}"/>
    <cellStyle name="Percentuale 2 2 4 2 2 4 2" xfId="2039" xr:uid="{62F3AFAC-E588-4804-839A-31FEFC775134}"/>
    <cellStyle name="Percentuale 2 2 4 2 2 4 2 2" xfId="4353" xr:uid="{2790E8AA-C938-423B-B16A-9027E5F749C9}"/>
    <cellStyle name="Percentuale 2 2 4 2 2 4 2 3" xfId="6394" xr:uid="{531FD7D0-9E17-4CE0-BF1F-71ED9C3AC26D}"/>
    <cellStyle name="Percentuale 2 2 4 2 2 4 3" xfId="2491" xr:uid="{2CF8625D-5E29-4A36-BE2D-34E610AB9ADC}"/>
    <cellStyle name="Percentuale 2 2 4 2 2 4 3 2" xfId="4805" xr:uid="{5BF7D032-838E-4A8F-B361-0E322AFA234F}"/>
    <cellStyle name="Percentuale 2 2 4 2 2 4 3 3" xfId="6815" xr:uid="{EDF4F79D-4936-4B13-94F4-E59F617F1A6B}"/>
    <cellStyle name="Percentuale 2 2 4 2 2 4 4" xfId="2896" xr:uid="{9AEA86A5-4938-4DB8-A0D4-58C63ABDF54B}"/>
    <cellStyle name="Percentuale 2 2 4 2 2 4 4 2" xfId="5210" xr:uid="{7FCE5F72-4ABA-45BF-BE0B-F0F18D4063C1}"/>
    <cellStyle name="Percentuale 2 2 4 2 2 4 4 3" xfId="7204" xr:uid="{08491268-69B5-480B-8B9D-B626C54506A4}"/>
    <cellStyle name="Percentuale 2 2 4 2 2 4 5" xfId="1429" xr:uid="{A282ABCE-06EB-405E-81F6-18D2FA627D80}"/>
    <cellStyle name="Percentuale 2 2 4 2 2 4 6" xfId="3745" xr:uid="{CB47F6D9-6F85-42DF-AD2F-F9574702D162}"/>
    <cellStyle name="Percentuale 2 2 4 2 2 4 7" xfId="5835" xr:uid="{EF009F28-C54B-4FE6-A18A-2423DCEB9850}"/>
    <cellStyle name="Percentuale 2 2 4 2 2 5" xfId="2340" xr:uid="{889CF945-57C5-4353-B2ED-88FE203FFA7C}"/>
    <cellStyle name="Percentuale 2 2 4 2 2 5 2" xfId="4654" xr:uid="{B4019DAF-BECB-4D58-AE7D-DF78953059B4}"/>
    <cellStyle name="Percentuale 2 2 4 2 2 5 3" xfId="6669" xr:uid="{27843F28-A91C-4378-B0C8-F665DBAFDC91}"/>
    <cellStyle name="Percentuale 2 2 4 2 2 6" xfId="1045" xr:uid="{2C5460FA-1068-4D6C-B768-07DCBBBE7273}"/>
    <cellStyle name="Percentuale 2 2 4 2 2 7" xfId="3406" xr:uid="{0EA6D5BF-B990-4EBF-A55C-2C22881FA7FA}"/>
    <cellStyle name="Percentuale 2 2 4 2 2 8" xfId="5526" xr:uid="{CB85C94F-055A-4DC6-90F5-8C9DCF4CD20E}"/>
    <cellStyle name="Percentuale 2 2 4 2 3" xfId="265" xr:uid="{D4E02C5B-E48E-4245-8739-27E8952B1A9B}"/>
    <cellStyle name="Percentuale 2 2 4 2 3 2" xfId="639" xr:uid="{90805B9C-08A8-4C71-9385-6BEE80D4F357}"/>
    <cellStyle name="Percentuale 2 2 4 2 3 2 2" xfId="2097" xr:uid="{65EB4954-6C79-4BBA-AE0D-1E048856B8DF}"/>
    <cellStyle name="Percentuale 2 2 4 2 3 2 2 2" xfId="4411" xr:uid="{AA4929D8-9070-4AB9-B6F7-1A1A4DB55A78}"/>
    <cellStyle name="Percentuale 2 2 4 2 3 2 2 3" xfId="8008" xr:uid="{8905CDCD-1710-4689-8A5B-89110FB533BD}"/>
    <cellStyle name="Percentuale 2 2 4 2 3 2 3" xfId="2549" xr:uid="{C4CB7031-AA81-42B5-B042-7DE7A0CD2279}"/>
    <cellStyle name="Percentuale 2 2 4 2 3 2 3 2" xfId="4863" xr:uid="{B4698CAF-5B93-4382-9E8F-5D4D6D773C96}"/>
    <cellStyle name="Percentuale 2 2 4 2 3 2 3 3" xfId="8288" xr:uid="{3B33EF4B-71F1-4884-8A05-0870378D099D}"/>
    <cellStyle name="Percentuale 2 2 4 2 3 2 4" xfId="1487" xr:uid="{D123AA89-0279-4EB4-BE6A-858D38DDBCC3}"/>
    <cellStyle name="Percentuale 2 2 4 2 3 2 5" xfId="3803" xr:uid="{553A6918-C9BD-49E2-A305-963899E01801}"/>
    <cellStyle name="Percentuale 2 2 4 2 3 2 6" xfId="7637" xr:uid="{7BA084BF-6716-4280-A1CD-A5041E2CE5D2}"/>
    <cellStyle name="Percentuale 2 2 4 2 3 3" xfId="717" xr:uid="{C5D477E6-020E-4D2C-A6F0-2E2E46B6978A}"/>
    <cellStyle name="Percentuale 2 2 4 2 3 3 2" xfId="2175" xr:uid="{9666AF0A-9156-402E-A744-D2A08388B615}"/>
    <cellStyle name="Percentuale 2 2 4 2 3 3 2 2" xfId="4489" xr:uid="{015C87DE-762E-4868-B824-A3FEAEEA1588}"/>
    <cellStyle name="Percentuale 2 2 4 2 3 3 2 3" xfId="6511" xr:uid="{440A7D7B-103F-47B6-82C7-F985726DF6BB}"/>
    <cellStyle name="Percentuale 2 2 4 2 3 3 3" xfId="2627" xr:uid="{0E6A299D-0435-46A1-BC0B-D592A4CB81F4}"/>
    <cellStyle name="Percentuale 2 2 4 2 3 3 3 2" xfId="4941" xr:uid="{3312470B-7201-4BF8-8F40-A50722FE4CDB}"/>
    <cellStyle name="Percentuale 2 2 4 2 3 3 3 3" xfId="6935" xr:uid="{E4A4CAFC-9167-46ED-9775-B5BC2D3C9FDE}"/>
    <cellStyle name="Percentuale 2 2 4 2 3 3 4" xfId="3002" xr:uid="{8BA55898-EFE9-458E-8C46-438F6AC50D52}"/>
    <cellStyle name="Percentuale 2 2 4 2 3 3 4 2" xfId="5316" xr:uid="{D0FD5B36-6AF8-4F1B-ACBB-911FE5A85FCC}"/>
    <cellStyle name="Percentuale 2 2 4 2 3 3 4 3" xfId="7310" xr:uid="{F1BE9978-DD57-4084-B549-48656EAB8963}"/>
    <cellStyle name="Percentuale 2 2 4 2 3 3 5" xfId="1565" xr:uid="{F8A5C9F0-5AE5-4895-9E77-A9985395075C}"/>
    <cellStyle name="Percentuale 2 2 4 2 3 3 6" xfId="3881" xr:uid="{F4CAC353-AF91-4928-88A2-23B7C5CBB2EC}"/>
    <cellStyle name="Percentuale 2 2 4 2 3 3 7" xfId="5948" xr:uid="{39806047-F588-4B6D-8251-19B89D31F3BC}"/>
    <cellStyle name="Percentuale 2 2 4 2 3 4" xfId="525" xr:uid="{C7EE202D-2ADD-4E89-9108-A5CA70EE75C8}"/>
    <cellStyle name="Percentuale 2 2 4 2 3 4 2" xfId="1984" xr:uid="{121455D1-B51E-4C3C-98AD-7AE668ACC06B}"/>
    <cellStyle name="Percentuale 2 2 4 2 3 4 2 2" xfId="4298" xr:uid="{669C2A31-993B-4983-A791-504B823E5753}"/>
    <cellStyle name="Percentuale 2 2 4 2 3 4 2 3" xfId="6339" xr:uid="{3BC891F6-00F6-48BC-849D-315018EEB5D2}"/>
    <cellStyle name="Percentuale 2 2 4 2 3 4 3" xfId="2435" xr:uid="{26E8A1E4-CCAB-4189-BD93-C1833DE8EAE4}"/>
    <cellStyle name="Percentuale 2 2 4 2 3 4 3 2" xfId="4749" xr:uid="{A5818712-10A3-49CB-BAF9-7339206117B7}"/>
    <cellStyle name="Percentuale 2 2 4 2 3 4 3 3" xfId="6759" xr:uid="{93CBA92A-400C-42C9-9330-B9BCA62D18A7}"/>
    <cellStyle name="Percentuale 2 2 4 2 3 4 4" xfId="2840" xr:uid="{24E8A391-054E-4BB9-B401-0A787DF5A29D}"/>
    <cellStyle name="Percentuale 2 2 4 2 3 4 4 2" xfId="5154" xr:uid="{E9220EC5-1C83-4D12-A32F-FFC4846C832F}"/>
    <cellStyle name="Percentuale 2 2 4 2 3 4 4 3" xfId="7148" xr:uid="{981CB552-0C54-4E33-B376-DDBEA8A8FBBB}"/>
    <cellStyle name="Percentuale 2 2 4 2 3 4 5" xfId="1373" xr:uid="{F3B5E667-F882-4529-8284-5A2A584A7EF0}"/>
    <cellStyle name="Percentuale 2 2 4 2 3 4 6" xfId="3689" xr:uid="{DDF59045-8A84-4D91-B956-E49FAC1E16DF}"/>
    <cellStyle name="Percentuale 2 2 4 2 3 4 7" xfId="5779" xr:uid="{4776E71A-96AB-4E3A-87FF-440F4E8B9C9B}"/>
    <cellStyle name="Percentuale 2 2 4 2 3 5" xfId="1762" xr:uid="{559CA1D5-CECE-4D9B-B245-6A4FCCA04B00}"/>
    <cellStyle name="Percentuale 2 2 4 2 3 5 2" xfId="4076" xr:uid="{2F6FC7DB-6691-4AAB-833D-0556AC355079}"/>
    <cellStyle name="Percentuale 2 2 4 2 3 5 3" xfId="6126" xr:uid="{B1AEDCF1-FEE7-4C0B-8457-D58A28AD180A}"/>
    <cellStyle name="Percentuale 2 2 4 2 3 6" xfId="940" xr:uid="{BC714C27-D230-4486-B03F-9FDE050F2CD0}"/>
    <cellStyle name="Percentuale 2 2 4 2 3 6 2" xfId="3322" xr:uid="{BEFC1416-E851-48B7-B7A5-0CBC96B5AF10}"/>
    <cellStyle name="Percentuale 2 2 4 2 3 6 3" xfId="3615" xr:uid="{22247E6F-EE59-4364-BB47-0FF9C10BECB5}"/>
    <cellStyle name="Percentuale 2 2 4 2 3 7" xfId="1113" xr:uid="{96ED32C1-266C-43CA-8DB7-926490E41E2B}"/>
    <cellStyle name="Percentuale 2 2 4 2 3 8" xfId="3465" xr:uid="{A466DA5C-2306-4066-9505-78530DF78595}"/>
    <cellStyle name="Percentuale 2 2 4 2 3 9" xfId="5588" xr:uid="{0F2FADCF-ADBA-4115-B64F-5AEEE7657F41}"/>
    <cellStyle name="Percentuale 2 2 4 2 4" xfId="437" xr:uid="{59AF07EC-9688-49E9-AB0A-1E6178AF85EE}"/>
    <cellStyle name="Percentuale 2 2 4 2 4 2" xfId="1909" xr:uid="{002711DE-7B9B-4085-878B-C96C82972D46}"/>
    <cellStyle name="Percentuale 2 2 4 2 4 2 2" xfId="4223" xr:uid="{2DAB1B24-90BB-4CE8-B05C-6914875C20F6}"/>
    <cellStyle name="Percentuale 2 2 4 2 4 2 3" xfId="6268" xr:uid="{F31F8871-00B4-43B9-9814-0C875C5C45D1}"/>
    <cellStyle name="Percentuale 2 2 4 2 4 3" xfId="2365" xr:uid="{6523825E-A496-4FD9-A73A-2AF36E682344}"/>
    <cellStyle name="Percentuale 2 2 4 2 4 3 2" xfId="4679" xr:uid="{D300CCBE-4405-4ADD-8362-5D09ABB5BA50}"/>
    <cellStyle name="Percentuale 2 2 4 2 4 3 3" xfId="6692" xr:uid="{C5C62692-C7C6-4C09-B4A3-2449CF404DC3}"/>
    <cellStyle name="Percentuale 2 2 4 2 4 4" xfId="2777" xr:uid="{592C78D6-0413-4D89-AC3B-80A21D79B82E}"/>
    <cellStyle name="Percentuale 2 2 4 2 4 4 2" xfId="5091" xr:uid="{59E196D6-5F46-4E27-B847-5A16F0321A21}"/>
    <cellStyle name="Percentuale 2 2 4 2 4 4 3" xfId="7085" xr:uid="{2F6D1D74-C5CA-4B14-88D7-2CF8F6719F28}"/>
    <cellStyle name="Percentuale 2 2 4 2 4 5" xfId="1285" xr:uid="{119096F8-F242-45C8-9713-7E967FB622DC}"/>
    <cellStyle name="Percentuale 2 2 4 2 4 6" xfId="3611" xr:uid="{700D4E18-A955-41D0-A77C-FD4732254021}"/>
    <cellStyle name="Percentuale 2 2 4 2 4 7" xfId="5713" xr:uid="{04A1683E-40A2-45A0-AF64-35B9E60488A8}"/>
    <cellStyle name="Percentuale 2 2 4 2 5" xfId="576" xr:uid="{8BDFC0EA-523A-42BD-AE8C-56DE1105FB8B}"/>
    <cellStyle name="Percentuale 2 2 4 2 5 2" xfId="2034" xr:uid="{410CA51B-C8C7-4396-AC32-EEA17A082B12}"/>
    <cellStyle name="Percentuale 2 2 4 2 5 2 2" xfId="4348" xr:uid="{7947E786-77D4-48C3-B13F-8D6CE16220D2}"/>
    <cellStyle name="Percentuale 2 2 4 2 5 2 3" xfId="6389" xr:uid="{D59FA359-3E4C-4A55-A664-0EF87F61EB5D}"/>
    <cellStyle name="Percentuale 2 2 4 2 5 3" xfId="2486" xr:uid="{CFD8E890-FE7F-438C-99FC-EE3C77D7CBA6}"/>
    <cellStyle name="Percentuale 2 2 4 2 5 3 2" xfId="4800" xr:uid="{5263B9B8-5FBE-4308-BB6E-B0D9DF87AC5A}"/>
    <cellStyle name="Percentuale 2 2 4 2 5 3 3" xfId="6810" xr:uid="{17052905-783E-41AA-A3A4-084576604EAB}"/>
    <cellStyle name="Percentuale 2 2 4 2 5 4" xfId="2891" xr:uid="{34CD6FAF-B136-4982-83C4-E6CBC84CAAEB}"/>
    <cellStyle name="Percentuale 2 2 4 2 5 4 2" xfId="5205" xr:uid="{FA0342C1-697B-41D5-A2E3-BAD097890B38}"/>
    <cellStyle name="Percentuale 2 2 4 2 5 4 3" xfId="7199" xr:uid="{A1B95111-6E23-41E4-82D3-FD5BE236728C}"/>
    <cellStyle name="Percentuale 2 2 4 2 5 5" xfId="1424" xr:uid="{7836CC17-AA08-4E39-B2ED-B08140E0D2EC}"/>
    <cellStyle name="Percentuale 2 2 4 2 5 6" xfId="3740" xr:uid="{D5189FF0-4555-4080-9DD4-F24B9F27228A}"/>
    <cellStyle name="Percentuale 2 2 4 2 5 7" xfId="5830" xr:uid="{577E72EA-7707-4311-906E-EE5A16F1D9B0}"/>
    <cellStyle name="Percentuale 2 2 4 2 6" xfId="347" xr:uid="{50F0285C-887F-4889-9489-A63911A92323}"/>
    <cellStyle name="Percentuale 2 2 4 2 6 2" xfId="1834" xr:uid="{E55C2A1F-D7E8-4C1F-BE24-466CC646A0B8}"/>
    <cellStyle name="Percentuale 2 2 4 2 6 2 2" xfId="4148" xr:uid="{CDD43DF2-7F69-4AD4-8DA2-9CF3B97EA750}"/>
    <cellStyle name="Percentuale 2 2 4 2 6 2 3" xfId="6197" xr:uid="{DC19A5B2-FF0D-47BD-9345-31682CA77339}"/>
    <cellStyle name="Percentuale 2 2 4 2 6 3" xfId="2289" xr:uid="{9C3D125C-9680-47B9-B866-D0AB845A9A74}"/>
    <cellStyle name="Percentuale 2 2 4 2 6 3 2" xfId="4603" xr:uid="{F5C07572-BA9F-4066-972C-95386B324072}"/>
    <cellStyle name="Percentuale 2 2 4 2 6 3 3" xfId="6625" xr:uid="{64F52BC7-216B-4454-943F-08079D631395}"/>
    <cellStyle name="Percentuale 2 2 4 2 6 4" xfId="2719" xr:uid="{A203A918-B987-4EB4-92A5-3029D9B98EE2}"/>
    <cellStyle name="Percentuale 2 2 4 2 6 4 2" xfId="5033" xr:uid="{35629E36-4266-41C9-817F-38770E67B0D9}"/>
    <cellStyle name="Percentuale 2 2 4 2 6 4 3" xfId="7027" xr:uid="{F316CC3A-5FA2-4D48-9F97-59B4A48B2C7C}"/>
    <cellStyle name="Percentuale 2 2 4 2 6 5" xfId="1195" xr:uid="{29610AF8-99B6-44BB-8C10-BFBDF7BB207E}"/>
    <cellStyle name="Percentuale 2 2 4 2 6 6" xfId="3533" xr:uid="{FFD77DC5-47B7-4AE2-B045-5CE7B1D65D1F}"/>
    <cellStyle name="Percentuale 2 2 4 2 6 7" xfId="5653" xr:uid="{654E33B5-7787-4FF6-8EA7-FEECD67D7AF7}"/>
    <cellStyle name="Percentuale 2 2 4 2 7" xfId="975" xr:uid="{DD4A4CAA-AE13-46B4-95C6-8D09149F6CAA}"/>
    <cellStyle name="Percentuale 2 2 4 2 7 2" xfId="3350" xr:uid="{8CD06579-834B-4E64-815C-1541EB326CE6}"/>
    <cellStyle name="Percentuale 2 2 4 2 7 3" xfId="3474" xr:uid="{DE702E87-DE62-40E1-B181-4899C2EEA27B}"/>
    <cellStyle name="Percentuale 2 2 4 2 7 4" xfId="6742" xr:uid="{CDC51520-54B6-4760-9515-5DAF1355069B}"/>
    <cellStyle name="Percentuale 2 2 4 2 8" xfId="1660" xr:uid="{6EA12631-AF46-428C-85E0-060C21B032D2}"/>
    <cellStyle name="Percentuale 2 2 4 2 8 2" xfId="3974" xr:uid="{6E0AA406-B9FF-4675-87A1-9E2928A11235}"/>
    <cellStyle name="Percentuale 2 2 4 2 8 3" xfId="6031" xr:uid="{5D7A0D45-530B-4071-908B-90275129BA13}"/>
    <cellStyle name="Percentuale 2 2 4 2 9" xfId="1938" xr:uid="{F7697842-A5F0-4D5A-95E5-CCD2804D21ED}"/>
    <cellStyle name="Percentuale 2 2 4 2 9 2" xfId="4252" xr:uid="{89D94184-877A-4303-BC30-3E7734DB21A7}"/>
    <cellStyle name="Percentuale 2 2 4 2 9 3" xfId="6297" xr:uid="{1CF97676-0FF7-47FA-AAA8-29DBBCC16BDF}"/>
    <cellStyle name="Percentuale 2 2 4 3" xfId="156" xr:uid="{0DDABC53-79EC-4F5B-9293-6FB20C81C7A4}"/>
    <cellStyle name="Percentuale 2 2 4 3 10" xfId="765" xr:uid="{C0319213-AA96-44CC-AB89-0FF27DC1A335}"/>
    <cellStyle name="Percentuale 2 2 4 3 2" xfId="293" xr:uid="{7178B596-8DC9-47A0-ABAA-FAD253B0E019}"/>
    <cellStyle name="Percentuale 2 2 4 3 2 2" xfId="661" xr:uid="{3C34C70B-F270-44CE-8489-42720AAD1499}"/>
    <cellStyle name="Percentuale 2 2 4 3 2 2 2" xfId="2119" xr:uid="{D10DA648-078A-448E-8BF8-C77E2B3B8DBD}"/>
    <cellStyle name="Percentuale 2 2 4 3 2 2 2 2" xfId="4433" xr:uid="{8B3F3CDB-979B-46E8-97FD-EBEB1AD4F5A8}"/>
    <cellStyle name="Percentuale 2 2 4 3 2 2 2 3" xfId="8028" xr:uid="{C28839E6-93F0-4978-984C-C8503A23B8B6}"/>
    <cellStyle name="Percentuale 2 2 4 3 2 2 3" xfId="2571" xr:uid="{C1494EFA-1970-45B6-8544-BFCEA15031E8}"/>
    <cellStyle name="Percentuale 2 2 4 3 2 2 3 2" xfId="4885" xr:uid="{86FFA40C-11B6-4163-89D6-770E00744EB4}"/>
    <cellStyle name="Percentuale 2 2 4 3 2 2 3 3" xfId="8308" xr:uid="{D9BF75B9-A476-44A6-B2ED-0E9FAFE81C32}"/>
    <cellStyle name="Percentuale 2 2 4 3 2 2 4" xfId="1509" xr:uid="{EA820E32-76FA-488E-94DF-251D505F68E0}"/>
    <cellStyle name="Percentuale 2 2 4 3 2 2 5" xfId="3825" xr:uid="{5F040EE4-9365-4EF5-B6EC-F2751F307362}"/>
    <cellStyle name="Percentuale 2 2 4 3 2 2 6" xfId="7657" xr:uid="{091F9DFD-003F-4612-93F8-77098C20BE85}"/>
    <cellStyle name="Percentuale 2 2 4 3 2 3" xfId="736" xr:uid="{BE9442FA-98A7-4363-966B-32DFE0A36644}"/>
    <cellStyle name="Percentuale 2 2 4 3 2 3 2" xfId="2194" xr:uid="{BEC18050-BC07-450C-B83A-7C6D7496C5BE}"/>
    <cellStyle name="Percentuale 2 2 4 3 2 3 2 2" xfId="4508" xr:uid="{C6163256-50D0-4533-8F68-09811A4D1E37}"/>
    <cellStyle name="Percentuale 2 2 4 3 2 3 2 3" xfId="6530" xr:uid="{BAE51E9F-BF1D-4B9D-9877-3B0F478A6C76}"/>
    <cellStyle name="Percentuale 2 2 4 3 2 3 3" xfId="2646" xr:uid="{95C87BB3-C008-4F66-8BD2-FABADACDCD05}"/>
    <cellStyle name="Percentuale 2 2 4 3 2 3 3 2" xfId="4960" xr:uid="{418D0DC9-7C63-4DEE-8976-3D544D4405C6}"/>
    <cellStyle name="Percentuale 2 2 4 3 2 3 3 3" xfId="6954" xr:uid="{4C7AB01E-72FF-4FE9-9E01-1BFF247B46C0}"/>
    <cellStyle name="Percentuale 2 2 4 3 2 3 4" xfId="3021" xr:uid="{9B2BD3DB-FE14-4FEB-B6AE-99FEE5FB355E}"/>
    <cellStyle name="Percentuale 2 2 4 3 2 3 4 2" xfId="5335" xr:uid="{F6B5C392-E162-4D56-83A8-084356A76612}"/>
    <cellStyle name="Percentuale 2 2 4 3 2 3 4 3" xfId="7329" xr:uid="{CF40E591-4538-4E5F-87C5-58F32ED31A08}"/>
    <cellStyle name="Percentuale 2 2 4 3 2 3 5" xfId="1584" xr:uid="{B0792C56-DD94-43EC-A7E1-F0D5E03164DC}"/>
    <cellStyle name="Percentuale 2 2 4 3 2 3 6" xfId="3900" xr:uid="{36079030-DCB9-42E1-9997-F6BA1EFBD28F}"/>
    <cellStyle name="Percentuale 2 2 4 3 2 3 7" xfId="5967" xr:uid="{F5CE9ABC-B2AC-45ED-944E-C39B86211979}"/>
    <cellStyle name="Percentuale 2 2 4 3 2 4" xfId="536" xr:uid="{213F4EDD-04E2-4703-802D-C7A4B410EFFC}"/>
    <cellStyle name="Percentuale 2 2 4 3 2 4 2" xfId="1995" xr:uid="{F35E45B7-B2F2-4271-99B1-74827FB26CF8}"/>
    <cellStyle name="Percentuale 2 2 4 3 2 4 2 2" xfId="4309" xr:uid="{F1B5892E-035E-4723-9BE3-D38B638E8BA6}"/>
    <cellStyle name="Percentuale 2 2 4 3 2 4 2 3" xfId="6350" xr:uid="{11E00A5A-058B-47DA-8D0F-E8632070E186}"/>
    <cellStyle name="Percentuale 2 2 4 3 2 4 3" xfId="2446" xr:uid="{18276680-7C58-4046-8910-16D24676990E}"/>
    <cellStyle name="Percentuale 2 2 4 3 2 4 3 2" xfId="4760" xr:uid="{2CD4DEB7-726B-4D68-91FC-7D2E3CC74177}"/>
    <cellStyle name="Percentuale 2 2 4 3 2 4 3 3" xfId="6770" xr:uid="{EBB50DA6-881B-4212-96DD-BD9AC0D6E25E}"/>
    <cellStyle name="Percentuale 2 2 4 3 2 4 4" xfId="2851" xr:uid="{B29B9457-FBB0-4740-9D99-B30FAB157033}"/>
    <cellStyle name="Percentuale 2 2 4 3 2 4 4 2" xfId="5165" xr:uid="{5ADE4505-89F3-4651-8309-89E42F8659B6}"/>
    <cellStyle name="Percentuale 2 2 4 3 2 4 4 3" xfId="7159" xr:uid="{F6679E06-E161-497F-B9D7-3546303BBFD0}"/>
    <cellStyle name="Percentuale 2 2 4 3 2 4 5" xfId="1384" xr:uid="{CB68A37F-182C-4FF8-9EA6-7F78EA64E16A}"/>
    <cellStyle name="Percentuale 2 2 4 3 2 4 6" xfId="3700" xr:uid="{65C5C68A-B47D-44EB-9074-0EBC27F688A3}"/>
    <cellStyle name="Percentuale 2 2 4 3 2 4 7" xfId="5790" xr:uid="{0F7ED3D1-D44A-4A0F-8180-62765B03FCAD}"/>
    <cellStyle name="Percentuale 2 2 4 3 2 5" xfId="1786" xr:uid="{72A9D8BB-9F7E-4E5F-BC6C-95149702C005}"/>
    <cellStyle name="Percentuale 2 2 4 3 2 5 2" xfId="4100" xr:uid="{0D8AA8D5-A38F-4024-A48D-DF18D3300759}"/>
    <cellStyle name="Percentuale 2 2 4 3 2 5 3" xfId="6149" xr:uid="{2557A8C8-31D2-4C1B-AD5A-87A2A8630980}"/>
    <cellStyle name="Percentuale 2 2 4 3 2 6" xfId="2246" xr:uid="{1BA33A69-9AE2-4D7F-951A-B5D485C84291}"/>
    <cellStyle name="Percentuale 2 2 4 3 2 6 2" xfId="4560" xr:uid="{9951D3E9-391B-4D3A-B29D-5A08EE086D5A}"/>
    <cellStyle name="Percentuale 2 2 4 3 2 6 3" xfId="6582" xr:uid="{40BCA387-6270-414A-BB1D-C97C081FBE99}"/>
    <cellStyle name="Percentuale 2 2 4 3 2 7" xfId="1141" xr:uid="{C740C2A0-8CBD-49C3-930E-5A9EA097D83F}"/>
    <cellStyle name="Percentuale 2 2 4 3 2 8" xfId="3491" xr:uid="{805A29BC-2C84-4A09-8275-ED2CFE36332C}"/>
    <cellStyle name="Percentuale 2 2 4 3 2 9" xfId="5610" xr:uid="{9DB98209-D021-4713-A86B-37F8B348B82F}"/>
    <cellStyle name="Percentuale 2 2 4 3 3" xfId="467" xr:uid="{A75253F4-6BD1-4B28-B97D-F86E8D78F20F}"/>
    <cellStyle name="Percentuale 2 2 4 3 3 2" xfId="1934" xr:uid="{B1D6A5A4-C706-44C9-9674-1067960AC911}"/>
    <cellStyle name="Percentuale 2 2 4 3 3 2 2" xfId="4248" xr:uid="{9A53A9FF-8A0F-4724-99F4-D5004A3688CC}"/>
    <cellStyle name="Percentuale 2 2 4 3 3 2 3" xfId="6293" xr:uid="{0FCAC42B-4B77-4979-98F8-44343EAE5472}"/>
    <cellStyle name="Percentuale 2 2 4 3 3 3" xfId="2389" xr:uid="{4A797AC9-8F8E-4B9E-AD23-A74465BD2126}"/>
    <cellStyle name="Percentuale 2 2 4 3 3 3 2" xfId="4703" xr:uid="{A8EA5044-9FEE-45D4-889C-CA548F56BCAB}"/>
    <cellStyle name="Percentuale 2 2 4 3 3 3 3" xfId="6716" xr:uid="{9B1A53AD-7875-41C4-92CF-831935145B09}"/>
    <cellStyle name="Percentuale 2 2 4 3 3 4" xfId="2800" xr:uid="{7B896465-6997-40C2-8389-E042E81554C9}"/>
    <cellStyle name="Percentuale 2 2 4 3 3 4 2" xfId="5114" xr:uid="{97C547BD-58E9-47C5-B654-3DE3F7AA6878}"/>
    <cellStyle name="Percentuale 2 2 4 3 3 4 3" xfId="7108" xr:uid="{53090533-6437-44B7-A40D-3C8771F5FC3F}"/>
    <cellStyle name="Percentuale 2 2 4 3 3 5" xfId="1315" xr:uid="{263A15FB-F281-41B3-A251-F4F73112000A}"/>
    <cellStyle name="Percentuale 2 2 4 3 3 6" xfId="3639" xr:uid="{9F3798B4-B5B2-49CC-B1D0-B60E2E912C16}"/>
    <cellStyle name="Percentuale 2 2 4 3 3 7" xfId="5737" xr:uid="{2E73386C-8FC0-40D7-9111-4030564E9180}"/>
    <cellStyle name="Percentuale 2 2 4 3 4" xfId="595" xr:uid="{2734944D-1AE1-456E-9FF8-C66410B9C8AC}"/>
    <cellStyle name="Percentuale 2 2 4 3 4 2" xfId="2053" xr:uid="{C2C52F4C-F91B-4340-A5B7-555D7935E98C}"/>
    <cellStyle name="Percentuale 2 2 4 3 4 2 2" xfId="4367" xr:uid="{ACE08CA8-F389-4133-9A3A-4D8BBB3D48AE}"/>
    <cellStyle name="Percentuale 2 2 4 3 4 2 3" xfId="6408" xr:uid="{1F8985B0-A251-43B2-904C-6B5733CE9404}"/>
    <cellStyle name="Percentuale 2 2 4 3 4 3" xfId="2505" xr:uid="{4AD357E7-6877-4C0E-927D-992862973F7B}"/>
    <cellStyle name="Percentuale 2 2 4 3 4 3 2" xfId="4819" xr:uid="{5D3B036A-235B-4889-8FC6-D7F394840EAA}"/>
    <cellStyle name="Percentuale 2 2 4 3 4 3 3" xfId="6829" xr:uid="{85F20003-49EA-47D8-9D8E-F1310DCB8E53}"/>
    <cellStyle name="Percentuale 2 2 4 3 4 4" xfId="2910" xr:uid="{BD883546-62CC-4691-9D49-0356BA86CDEB}"/>
    <cellStyle name="Percentuale 2 2 4 3 4 4 2" xfId="5224" xr:uid="{62AC91DA-1E69-4690-BA04-3A573611D4A1}"/>
    <cellStyle name="Percentuale 2 2 4 3 4 4 3" xfId="7218" xr:uid="{43C4A80B-EC4F-4EED-BB12-9E12FBBF930E}"/>
    <cellStyle name="Percentuale 2 2 4 3 4 5" xfId="1443" xr:uid="{A1ED285F-2731-4D16-AFFD-E39969B0172B}"/>
    <cellStyle name="Percentuale 2 2 4 3 4 6" xfId="3759" xr:uid="{B33636FA-B846-4CC4-9973-85F23B98B8C3}"/>
    <cellStyle name="Percentuale 2 2 4 3 4 7" xfId="5849" xr:uid="{80F43461-58BE-4D7D-8CBC-71281D16B46D}"/>
    <cellStyle name="Percentuale 2 2 4 3 5" xfId="358" xr:uid="{B7060D18-C64D-4896-A384-F0914319E84A}"/>
    <cellStyle name="Percentuale 2 2 4 3 5 2" xfId="1845" xr:uid="{20D06678-E543-4928-8C88-B87BDFA1E49E}"/>
    <cellStyle name="Percentuale 2 2 4 3 5 2 2" xfId="4159" xr:uid="{E35A519E-DCBB-4BAD-9A77-783B6E1A64E0}"/>
    <cellStyle name="Percentuale 2 2 4 3 5 2 3" xfId="6208" xr:uid="{E01C0B71-880B-4EE0-9895-B6B731584F7B}"/>
    <cellStyle name="Percentuale 2 2 4 3 5 3" xfId="2300" xr:uid="{AE6AE086-5189-46E7-8DA3-D7C52360FE5C}"/>
    <cellStyle name="Percentuale 2 2 4 3 5 3 2" xfId="4614" xr:uid="{8A487528-4465-4E49-AC71-2A57E30FCC44}"/>
    <cellStyle name="Percentuale 2 2 4 3 5 3 3" xfId="6636" xr:uid="{5F430B7E-3B58-4AB1-8B1F-A816DB7C585C}"/>
    <cellStyle name="Percentuale 2 2 4 3 5 4" xfId="2730" xr:uid="{C8EEEF1E-17D2-46E0-A4E4-4A65DB012A04}"/>
    <cellStyle name="Percentuale 2 2 4 3 5 4 2" xfId="5044" xr:uid="{64C6A3EF-64A7-412D-9E33-B30671287B28}"/>
    <cellStyle name="Percentuale 2 2 4 3 5 4 3" xfId="7038" xr:uid="{D3D73AA5-7D7B-4E78-AE2F-E83B78BA8915}"/>
    <cellStyle name="Percentuale 2 2 4 3 5 5" xfId="1206" xr:uid="{1C09B6B7-A41A-40BC-836E-E53FAB496B0F}"/>
    <cellStyle name="Percentuale 2 2 4 3 5 6" xfId="3544" xr:uid="{F75BCE86-EAC4-4BA7-8D08-D93640158865}"/>
    <cellStyle name="Percentuale 2 2 4 3 5 7" xfId="5664" xr:uid="{AA3CFE66-D0EF-4CB7-814F-C660FECCDAAB}"/>
    <cellStyle name="Percentuale 2 2 4 3 6" xfId="1685" xr:uid="{79BE0A8E-FAC9-4D89-AC63-358CE6A9BF5A}"/>
    <cellStyle name="Percentuale 2 2 4 3 6 2" xfId="3999" xr:uid="{94B7F271-587D-47B8-95B7-F5B396A85E12}"/>
    <cellStyle name="Percentuale 2 2 4 3 6 3" xfId="6055" xr:uid="{AE25DD26-7B2C-4D43-8218-0FAF5D486B39}"/>
    <cellStyle name="Percentuale 2 2 4 3 7" xfId="1773" xr:uid="{C81B30BA-A87C-4246-9916-F68A2DBD1D8C}"/>
    <cellStyle name="Percentuale 2 2 4 3 7 2" xfId="4087" xr:uid="{0279E38D-6281-47F9-BE34-68A7EA2FC5FB}"/>
    <cellStyle name="Percentuale 2 2 4 3 7 3" xfId="6136" xr:uid="{2A8E7B56-37B1-4AD8-B73F-D5939DCA9367}"/>
    <cellStyle name="Percentuale 2 2 4 3 8" xfId="1004" xr:uid="{DDE604C9-3570-4EA0-934E-F721BE1AA7EC}"/>
    <cellStyle name="Percentuale 2 2 4 3 9" xfId="3375" xr:uid="{882755D2-83D5-4B4F-812B-B2E60BE312D1}"/>
    <cellStyle name="Percentuale 2 2 4 4" xfId="223" xr:uid="{DFBB2F87-FF6B-428B-95F8-616BFC418F70}"/>
    <cellStyle name="Percentuale 2 2 4 4 2" xfId="694" xr:uid="{39AE8F7C-6112-4ED2-BC4A-31FC89BD4507}"/>
    <cellStyle name="Percentuale 2 2 4 4 2 2" xfId="2152" xr:uid="{61FCE54D-E634-490B-AE82-1B436EE479B9}"/>
    <cellStyle name="Percentuale 2 2 4 4 2 2 2" xfId="4466" xr:uid="{EB8B23E1-1325-4DE0-BCE0-783253C9856F}"/>
    <cellStyle name="Percentuale 2 2 4 4 2 2 3" xfId="6488" xr:uid="{879B6E91-4888-41CC-BA62-BD0B4E34C126}"/>
    <cellStyle name="Percentuale 2 2 4 4 2 3" xfId="2604" xr:uid="{AD946628-0542-4D5D-9C77-0AD1B57647EF}"/>
    <cellStyle name="Percentuale 2 2 4 4 2 3 2" xfId="4918" xr:uid="{AA2D8195-22D5-4620-B519-816853C5238F}"/>
    <cellStyle name="Percentuale 2 2 4 4 2 3 3" xfId="6912" xr:uid="{9E992A60-5E37-4F84-9F5A-9FEF8DC02BA3}"/>
    <cellStyle name="Percentuale 2 2 4 4 2 4" xfId="2979" xr:uid="{92BC3875-2469-44E6-855D-CE9DD183D547}"/>
    <cellStyle name="Percentuale 2 2 4 4 2 4 2" xfId="5293" xr:uid="{48C98839-6969-4739-934C-3B3DC3EAE4A8}"/>
    <cellStyle name="Percentuale 2 2 4 4 2 4 3" xfId="7287" xr:uid="{A2226A1F-EDE5-4AF3-A836-CCDB6FCE34E3}"/>
    <cellStyle name="Percentuale 2 2 4 4 2 5" xfId="1542" xr:uid="{E6F7F0B0-5E27-4BAF-8637-7E10AA486E5C}"/>
    <cellStyle name="Percentuale 2 2 4 4 2 6" xfId="3858" xr:uid="{79DE17A5-FEDB-498B-AAFF-E9B65449CE9B}"/>
    <cellStyle name="Percentuale 2 2 4 4 2 7" xfId="5925" xr:uid="{F0CA3DFF-0F74-4F86-A502-4AFC7A77E1DC}"/>
    <cellStyle name="Percentuale 2 2 4 4 3" xfId="1729" xr:uid="{CBF8A23D-B468-4B2C-8109-7BB52B9915A0}"/>
    <cellStyle name="Percentuale 2 2 4 4 3 2" xfId="4043" xr:uid="{8E1F1A55-B7F1-4E24-A8C6-79D4CB820A17}"/>
    <cellStyle name="Percentuale 2 2 4 4 3 3" xfId="7791" xr:uid="{0D27E11A-04A2-47CD-AB6F-856D2FA471A2}"/>
    <cellStyle name="Percentuale 2 2 4 4 4" xfId="1692" xr:uid="{C162AEE2-4BAC-47C7-992D-77BB0979C096}"/>
    <cellStyle name="Percentuale 2 2 4 4 4 2" xfId="4006" xr:uid="{82C0F982-E113-4743-887C-B25107BCF116}"/>
    <cellStyle name="Percentuale 2 2 4 4 4 3" xfId="7768" xr:uid="{A071984B-87CB-4B95-9884-339A0C164438}"/>
    <cellStyle name="Percentuale 2 2 4 4 5" xfId="1071" xr:uid="{FD901E44-892D-407E-AC56-BBB13E4A51CD}"/>
    <cellStyle name="Percentuale 2 2 4 4 6" xfId="3429" xr:uid="{E8737B8E-208E-4A89-BDFE-2EBE2490F81A}"/>
    <cellStyle name="Percentuale 2 2 4 4 7" xfId="5638" xr:uid="{93306653-31AA-4415-9D1F-FE25A51AD1E4}"/>
    <cellStyle name="Percentuale 2 2 4 5" xfId="395" xr:uid="{F3269F9B-CD29-4AC7-9451-8A960686F490}"/>
    <cellStyle name="Percentuale 2 2 4 5 2" xfId="1876" xr:uid="{8AD0E8B8-3DDB-4265-887E-709D6C439B2D}"/>
    <cellStyle name="Percentuale 2 2 4 5 2 2" xfId="4190" xr:uid="{A7F2ED6E-AD2A-457B-AFE1-7DBBF64CF976}"/>
    <cellStyle name="Percentuale 2 2 4 5 2 3" xfId="7874" xr:uid="{17946D0C-62A0-4AAD-AF1B-168793ECDA32}"/>
    <cellStyle name="Percentuale 2 2 4 5 3" xfId="2333" xr:uid="{5F10BDBB-4D7C-4E4A-928D-EBE36513DD9C}"/>
    <cellStyle name="Percentuale 2 2 4 5 3 2" xfId="4647" xr:uid="{C8E916F5-E4B2-486F-88E0-515A045B23D7}"/>
    <cellStyle name="Percentuale 2 2 4 5 3 3" xfId="8157" xr:uid="{E31495D3-7D23-4786-A7FD-BADF186CD4BB}"/>
    <cellStyle name="Percentuale 2 2 4 5 4" xfId="1243" xr:uid="{3A7F829A-2D92-487E-AB87-45C17977C4AF}"/>
    <cellStyle name="Percentuale 2 2 4 5 5" xfId="3576" xr:uid="{8E966EEC-4CA7-49F6-AFA8-B662B12A8AD6}"/>
    <cellStyle name="Percentuale 2 2 4 5 6" xfId="7522" xr:uid="{B0307B35-8043-4DC2-B6FE-7AF021183B89}"/>
    <cellStyle name="Percentuale 2 2 4 6" xfId="927" xr:uid="{E2068D65-0B0F-40A6-BE3C-0536174DF455}"/>
    <cellStyle name="Percentuale 2 2 4 6 2" xfId="3309" xr:uid="{AD3B6734-BFC5-4805-805B-FFE9773F1A00}"/>
    <cellStyle name="Percentuale 2 2 4 6 3" xfId="3582" xr:uid="{E77D8016-6D62-486C-8077-19D3F442D301}"/>
    <cellStyle name="Percentuale 2 2 4 7" xfId="1625" xr:uid="{11BE7ABA-ABB5-459C-AAF1-29F70FC6181C}"/>
    <cellStyle name="Percentuale 2 2 4 7 2" xfId="3939" xr:uid="{969E8274-83C1-43FD-BD0A-D0A9396F4BEE}"/>
    <cellStyle name="Percentuale 2 2 4 7 3" xfId="7724" xr:uid="{E75F30AF-DCD7-40F6-887E-90745E8449E9}"/>
    <cellStyle name="Percentuale 2 2 4 8" xfId="832" xr:uid="{3F752315-87F7-4E76-99A7-BC4B334CCF37}"/>
    <cellStyle name="Percentuale 2 2 4 9" xfId="3226" xr:uid="{A5C3B8F7-7F0B-4273-9666-CBDB4349A8D6}"/>
    <cellStyle name="Percentuale 2 2 5" xfId="101" xr:uid="{B1E20AE2-9551-48F8-A2C3-C355A6EBC8DA}"/>
    <cellStyle name="Percentuale 2 2 5 10" xfId="851" xr:uid="{DA2E54BE-1971-4309-8CCC-6F339C9F5BB0}"/>
    <cellStyle name="Percentuale 2 2 5 11" xfId="3240" xr:uid="{7A1D0588-3A3A-4B66-BF95-9AA3A2FBBE36}"/>
    <cellStyle name="Percentuale 2 2 5 12" xfId="6471" xr:uid="{607FB285-F424-4243-8605-EA2EB56D4759}"/>
    <cellStyle name="Percentuale 2 2 5 2" xfId="173" xr:uid="{35DF57D1-C59A-450C-AB9D-74A0DE9FD802}"/>
    <cellStyle name="Percentuale 2 2 5 2 2" xfId="310" xr:uid="{1B8370D1-D1FB-4C85-B066-E4ADDE157FE0}"/>
    <cellStyle name="Percentuale 2 2 5 2 2 2" xfId="670" xr:uid="{9D0C7353-61A6-4BA5-8DC4-85C434FF0C2A}"/>
    <cellStyle name="Percentuale 2 2 5 2 2 2 2" xfId="2128" xr:uid="{59EA3D78-3087-47B9-9473-2D5160AF7C8C}"/>
    <cellStyle name="Percentuale 2 2 5 2 2 2 2 2" xfId="4442" xr:uid="{D553B497-5C27-463B-8CB9-A8D1CB0E7E0C}"/>
    <cellStyle name="Percentuale 2 2 5 2 2 2 2 3" xfId="8036" xr:uid="{18EB9B1F-C9FD-4147-A670-A2B05379ACC4}"/>
    <cellStyle name="Percentuale 2 2 5 2 2 2 3" xfId="2580" xr:uid="{636A8727-52E1-4598-B6D7-41BF93C750C9}"/>
    <cellStyle name="Percentuale 2 2 5 2 2 2 3 2" xfId="4894" xr:uid="{F4093107-2B67-4A20-8BD3-D85C9EDBAA97}"/>
    <cellStyle name="Percentuale 2 2 5 2 2 2 3 3" xfId="8316" xr:uid="{291B5514-39CC-4F0D-9775-C9007D2534E7}"/>
    <cellStyle name="Percentuale 2 2 5 2 2 2 4" xfId="1518" xr:uid="{D76D74E3-F6CC-4C91-86DF-30608EC99B64}"/>
    <cellStyle name="Percentuale 2 2 5 2 2 2 5" xfId="3834" xr:uid="{9A331EC2-B8E3-4B62-ACBF-E7E1FBED9BCF}"/>
    <cellStyle name="Percentuale 2 2 5 2 2 2 6" xfId="7665" xr:uid="{21AFCE05-AD12-4268-8A90-908E8E270F17}"/>
    <cellStyle name="Percentuale 2 2 5 2 2 3" xfId="742" xr:uid="{D744782C-28C2-47FF-93E9-BE8279072D72}"/>
    <cellStyle name="Percentuale 2 2 5 2 2 3 2" xfId="2200" xr:uid="{9650488E-3C7C-489B-8593-BE31C0C0D484}"/>
    <cellStyle name="Percentuale 2 2 5 2 2 3 2 2" xfId="4514" xr:uid="{5E26CF87-9E99-4D81-ABDF-E9CCC601EC2C}"/>
    <cellStyle name="Percentuale 2 2 5 2 2 3 2 3" xfId="6536" xr:uid="{CF9CA2EE-D0D9-41A4-B8F8-18D637BD2D05}"/>
    <cellStyle name="Percentuale 2 2 5 2 2 3 3" xfId="2652" xr:uid="{0E4DE57E-06D1-41D9-B20D-EEC2C9B3C13E}"/>
    <cellStyle name="Percentuale 2 2 5 2 2 3 3 2" xfId="4966" xr:uid="{ADE1D09B-549F-4150-B744-69DF137D1093}"/>
    <cellStyle name="Percentuale 2 2 5 2 2 3 3 3" xfId="6960" xr:uid="{E713D0F1-00E1-474D-8474-E3F1E1D1D661}"/>
    <cellStyle name="Percentuale 2 2 5 2 2 3 4" xfId="3027" xr:uid="{081026E8-5E54-4B4E-A6A1-9578ED63AD19}"/>
    <cellStyle name="Percentuale 2 2 5 2 2 3 4 2" xfId="5341" xr:uid="{0650B5A2-3614-4636-A073-965B4235440B}"/>
    <cellStyle name="Percentuale 2 2 5 2 2 3 4 3" xfId="7335" xr:uid="{D1168B4E-AC82-44A5-B4A5-927F21F97C0C}"/>
    <cellStyle name="Percentuale 2 2 5 2 2 3 5" xfId="1590" xr:uid="{9DFB8AD4-CE95-40AC-9117-DC2910B1AD85}"/>
    <cellStyle name="Percentuale 2 2 5 2 2 3 6" xfId="3906" xr:uid="{FB072F11-48F6-4B4B-8CCA-07A8764A0857}"/>
    <cellStyle name="Percentuale 2 2 5 2 2 3 7" xfId="5973" xr:uid="{2BBFEABD-C724-40F6-8B96-2CB430F2619A}"/>
    <cellStyle name="Percentuale 2 2 5 2 2 4" xfId="539" xr:uid="{D2696393-1166-4A15-B2D7-D184F48B41C2}"/>
    <cellStyle name="Percentuale 2 2 5 2 2 4 2" xfId="1998" xr:uid="{5E65137D-9F9C-48E4-A126-691EDF7149E1}"/>
    <cellStyle name="Percentuale 2 2 5 2 2 4 2 2" xfId="4312" xr:uid="{A07DDBC6-C7CB-46AB-876C-D55A35C00D46}"/>
    <cellStyle name="Percentuale 2 2 5 2 2 4 2 3" xfId="6353" xr:uid="{3A392490-1505-4236-8CDF-C7794AD48E52}"/>
    <cellStyle name="Percentuale 2 2 5 2 2 4 3" xfId="2449" xr:uid="{92FE5ADA-C09C-4177-8D20-93F68878A685}"/>
    <cellStyle name="Percentuale 2 2 5 2 2 4 3 2" xfId="4763" xr:uid="{4CA728FD-C7B9-4CAD-95C0-E866E7DBB815}"/>
    <cellStyle name="Percentuale 2 2 5 2 2 4 3 3" xfId="6773" xr:uid="{5B601621-4645-412C-B4BA-6ED72B035BDB}"/>
    <cellStyle name="Percentuale 2 2 5 2 2 4 4" xfId="2854" xr:uid="{871C5825-7257-432A-B60F-BA82856D5B8C}"/>
    <cellStyle name="Percentuale 2 2 5 2 2 4 4 2" xfId="5168" xr:uid="{A59F0BCF-A285-4BCF-A856-E05455E3CA2D}"/>
    <cellStyle name="Percentuale 2 2 5 2 2 4 4 3" xfId="7162" xr:uid="{99B9223B-441D-49D6-AEF9-ADC0C2935FB4}"/>
    <cellStyle name="Percentuale 2 2 5 2 2 4 5" xfId="1387" xr:uid="{77184161-1E35-4F05-A5A8-37747DD7A9BE}"/>
    <cellStyle name="Percentuale 2 2 5 2 2 4 6" xfId="3703" xr:uid="{842F142B-A4BA-4824-B849-E79B5E78AE3A}"/>
    <cellStyle name="Percentuale 2 2 5 2 2 4 7" xfId="5793" xr:uid="{80A6874A-7AD1-410B-96F1-44203C64CF59}"/>
    <cellStyle name="Percentuale 2 2 5 2 2 5" xfId="1801" xr:uid="{D7671DA9-41F3-4CE0-9CAC-37576C1A3AC5}"/>
    <cellStyle name="Percentuale 2 2 5 2 2 5 2" xfId="4115" xr:uid="{7D1F5533-2BDC-412C-B5DA-9BCE067F7F35}"/>
    <cellStyle name="Percentuale 2 2 5 2 2 5 3" xfId="6164" xr:uid="{9E239DEE-0EE5-4721-81E2-BB9E377E62ED}"/>
    <cellStyle name="Percentuale 2 2 5 2 2 6" xfId="2257" xr:uid="{681C32AE-5D89-4148-9AE2-32AAB794F725}"/>
    <cellStyle name="Percentuale 2 2 5 2 2 6 2" xfId="4571" xr:uid="{48D83260-2383-41B8-94CB-A338E3B16C2A}"/>
    <cellStyle name="Percentuale 2 2 5 2 2 6 3" xfId="6593" xr:uid="{28906504-B945-4648-A7C2-DBE498E182BD}"/>
    <cellStyle name="Percentuale 2 2 5 2 2 7" xfId="1158" xr:uid="{3E3625DC-8092-43FD-88D0-40647FE8AA30}"/>
    <cellStyle name="Percentuale 2 2 5 2 2 8" xfId="3501" xr:uid="{8137F6ED-4D77-4B94-9AAC-49DAD890FDC9}"/>
    <cellStyle name="Percentuale 2 2 5 2 2 9" xfId="5621" xr:uid="{88A87A03-0393-4DF7-8AFC-742D90AEA9CC}"/>
    <cellStyle name="Percentuale 2 2 5 2 3" xfId="484" xr:uid="{4B7B95B0-1B4A-4999-8D29-B94533FF6FE6}"/>
    <cellStyle name="Percentuale 2 2 5 2 3 2" xfId="1948" xr:uid="{97BF1BBC-55B3-470B-A776-60A2B7090C25}"/>
    <cellStyle name="Percentuale 2 2 5 2 3 2 2" xfId="4262" xr:uid="{0547535C-DDAE-4516-9E96-77692DF92575}"/>
    <cellStyle name="Percentuale 2 2 5 2 3 2 3" xfId="7922" xr:uid="{49542F77-4FEA-4235-8E7A-BBD1478A1781}"/>
    <cellStyle name="Percentuale 2 2 5 2 3 3" xfId="2401" xr:uid="{469EC688-A8DF-4E8B-A9C0-8A6419DE03CC}"/>
    <cellStyle name="Percentuale 2 2 5 2 3 3 2" xfId="4715" xr:uid="{2A683F55-6F09-4C95-AA57-0EDDA26A50B9}"/>
    <cellStyle name="Percentuale 2 2 5 2 3 3 3" xfId="8203" xr:uid="{AB291EB1-318A-44ED-9053-A78754CC29E2}"/>
    <cellStyle name="Percentuale 2 2 5 2 3 4" xfId="1332" xr:uid="{2F530E5D-31CF-4A3B-86B6-51EA4FB7266B}"/>
    <cellStyle name="Percentuale 2 2 5 2 3 5" xfId="3652" xr:uid="{9C4FDECF-0AC2-471D-BD3C-9A982E8F33E3}"/>
    <cellStyle name="Percentuale 2 2 5 2 3 6" xfId="7553" xr:uid="{23EA5BEF-A89C-4735-B424-590E5D6137EA}"/>
    <cellStyle name="Percentuale 2 2 5 2 4" xfId="599" xr:uid="{DFDF7D76-5A94-473F-A82F-3257FA655AD2}"/>
    <cellStyle name="Percentuale 2 2 5 2 4 2" xfId="2057" xr:uid="{6A24AF47-FA40-497F-9660-4D5DFEF10968}"/>
    <cellStyle name="Percentuale 2 2 5 2 4 2 2" xfId="4371" xr:uid="{2F6144EC-8D36-4BD0-948B-D44971157A71}"/>
    <cellStyle name="Percentuale 2 2 5 2 4 2 3" xfId="6412" xr:uid="{DC08B659-441C-4807-9F27-4F7ED01A85CF}"/>
    <cellStyle name="Percentuale 2 2 5 2 4 3" xfId="2509" xr:uid="{41FE7092-839B-4ED2-9199-4CE9842CFD34}"/>
    <cellStyle name="Percentuale 2 2 5 2 4 3 2" xfId="4823" xr:uid="{772A1129-ACEA-451D-9659-AD98762FA51F}"/>
    <cellStyle name="Percentuale 2 2 5 2 4 3 3" xfId="6833" xr:uid="{E4DE1395-B056-4C42-A8AB-8230113081E6}"/>
    <cellStyle name="Percentuale 2 2 5 2 4 4" xfId="2914" xr:uid="{15ECE8AB-D913-4FB3-B805-A4005D5985C6}"/>
    <cellStyle name="Percentuale 2 2 5 2 4 4 2" xfId="5228" xr:uid="{83B623BA-B120-4D23-8E9E-E9E2F8EF2E86}"/>
    <cellStyle name="Percentuale 2 2 5 2 4 4 3" xfId="7222" xr:uid="{B0E822C6-5375-4589-95C8-AD8CEA47E8A8}"/>
    <cellStyle name="Percentuale 2 2 5 2 4 5" xfId="1447" xr:uid="{611DF901-5FC6-49CB-9EB5-3628D04691DF}"/>
    <cellStyle name="Percentuale 2 2 5 2 4 6" xfId="3763" xr:uid="{EB1AE478-E23D-4374-B899-88C6510B5EDD}"/>
    <cellStyle name="Percentuale 2 2 5 2 4 7" xfId="5853" xr:uid="{2A6482C9-A1C4-432A-BB13-443DD6D4CFEF}"/>
    <cellStyle name="Percentuale 2 2 5 2 5" xfId="1696" xr:uid="{4A20CFCE-427B-4393-9018-8B3C3FFA8A17}"/>
    <cellStyle name="Percentuale 2 2 5 2 5 2" xfId="4010" xr:uid="{FDF2D625-5847-4FA5-A441-8AF567E6CD28}"/>
    <cellStyle name="Percentuale 2 2 5 2 5 3" xfId="6065" xr:uid="{DE320698-E223-4CF0-8C09-AE05EFC7915F}"/>
    <cellStyle name="Percentuale 2 2 5 2 6" xfId="1021" xr:uid="{3F26A812-22B5-4323-ABA4-5F50C4F35F56}"/>
    <cellStyle name="Percentuale 2 2 5 2 7" xfId="3387" xr:uid="{9E783C36-EF0C-462C-B86A-C13EB0287788}"/>
    <cellStyle name="Percentuale 2 2 5 2 8" xfId="3485" xr:uid="{4B65FF61-F251-44DB-A8FD-81094C3938F4}"/>
    <cellStyle name="Percentuale 2 2 5 3" xfId="241" xr:uid="{6644D308-6830-486D-8F9E-CC8D53FCDE37}"/>
    <cellStyle name="Percentuale 2 2 5 3 2" xfId="625" xr:uid="{15D6A59B-372D-4B5E-B6CB-E2B6E53296BF}"/>
    <cellStyle name="Percentuale 2 2 5 3 2 2" xfId="2083" xr:uid="{06914FA1-CEA9-4EC2-9346-AEE8C92FA555}"/>
    <cellStyle name="Percentuale 2 2 5 3 2 2 2" xfId="4397" xr:uid="{8B68A00D-F791-468A-A036-53A110F28CB5}"/>
    <cellStyle name="Percentuale 2 2 5 3 2 2 3" xfId="7994" xr:uid="{583E00F8-8E15-4EEC-BBA1-7CC4EC48DF94}"/>
    <cellStyle name="Percentuale 2 2 5 3 2 3" xfId="2535" xr:uid="{A5C0C47A-4329-469E-8A05-0EC8CC748778}"/>
    <cellStyle name="Percentuale 2 2 5 3 2 3 2" xfId="4849" xr:uid="{D423F824-619F-4C0C-A6E0-300EF73298AE}"/>
    <cellStyle name="Percentuale 2 2 5 3 2 3 3" xfId="8274" xr:uid="{93927FCB-A71C-438A-88BD-74E39C05AF82}"/>
    <cellStyle name="Percentuale 2 2 5 3 2 4" xfId="1473" xr:uid="{5E3678E9-DC4C-4204-B024-80BDF56114F7}"/>
    <cellStyle name="Percentuale 2 2 5 3 2 5" xfId="3789" xr:uid="{0FDB09A4-F502-433F-B4BA-B4E04910ED48}"/>
    <cellStyle name="Percentuale 2 2 5 3 2 6" xfId="7623" xr:uid="{C8C4A6C4-5939-4E9D-9C86-68C790DE65B7}"/>
    <cellStyle name="Percentuale 2 2 5 3 3" xfId="700" xr:uid="{CB2925A8-F64B-4DF8-A65C-65C8F1D6D0A5}"/>
    <cellStyle name="Percentuale 2 2 5 3 3 2" xfId="2158" xr:uid="{40F3ADF8-CE98-4E32-B88E-5865D81C7FC3}"/>
    <cellStyle name="Percentuale 2 2 5 3 3 2 2" xfId="4472" xr:uid="{67F0C67B-EDD1-45BF-B62D-A2ACB41D126E}"/>
    <cellStyle name="Percentuale 2 2 5 3 3 2 3" xfId="6494" xr:uid="{D0CC04DB-6D6B-4F73-9250-34DE40A2B591}"/>
    <cellStyle name="Percentuale 2 2 5 3 3 3" xfId="2610" xr:uid="{5B756274-1610-4018-9FA6-40DF5924F26A}"/>
    <cellStyle name="Percentuale 2 2 5 3 3 3 2" xfId="4924" xr:uid="{894D3AD4-8134-480E-8010-A0BCCF56755A}"/>
    <cellStyle name="Percentuale 2 2 5 3 3 3 3" xfId="6918" xr:uid="{4AEBF8BA-CDCA-4CBA-8B40-351A251BCE6A}"/>
    <cellStyle name="Percentuale 2 2 5 3 3 4" xfId="2985" xr:uid="{A74B26FB-FF3B-4546-BC8C-78B00BD0C923}"/>
    <cellStyle name="Percentuale 2 2 5 3 3 4 2" xfId="5299" xr:uid="{EDFAA2B2-4CD5-4EFF-8C00-A1DD8B059312}"/>
    <cellStyle name="Percentuale 2 2 5 3 3 4 3" xfId="7293" xr:uid="{6A94A376-9DC2-43E3-9808-F990A19EA9BB}"/>
    <cellStyle name="Percentuale 2 2 5 3 3 5" xfId="1548" xr:uid="{FCEB6130-D756-436F-88E0-92050741DE7E}"/>
    <cellStyle name="Percentuale 2 2 5 3 3 6" xfId="3864" xr:uid="{CF2E6B14-999F-4635-B5E8-CE4315B9F144}"/>
    <cellStyle name="Percentuale 2 2 5 3 3 7" xfId="5931" xr:uid="{C3E944BB-2AD8-456E-8751-405B2C62CA28}"/>
    <cellStyle name="Percentuale 2 2 5 3 4" xfId="516" xr:uid="{A1A7F003-9191-4BE0-ADB8-A8030DE709FD}"/>
    <cellStyle name="Percentuale 2 2 5 3 4 2" xfId="1975" xr:uid="{E8EFD10E-28B1-41FC-A3E8-C3752B4776EF}"/>
    <cellStyle name="Percentuale 2 2 5 3 4 2 2" xfId="4289" xr:uid="{F9E80468-3E38-44AF-8BF2-B50FA00B1660}"/>
    <cellStyle name="Percentuale 2 2 5 3 4 2 3" xfId="6330" xr:uid="{2C10E99B-9EB1-478B-A068-81B539F407EC}"/>
    <cellStyle name="Percentuale 2 2 5 3 4 3" xfId="2426" xr:uid="{1868104D-8B5C-4AE9-B501-37926A6E2B95}"/>
    <cellStyle name="Percentuale 2 2 5 3 4 3 2" xfId="4740" xr:uid="{B55863E0-B124-4976-92F9-455616C66AFA}"/>
    <cellStyle name="Percentuale 2 2 5 3 4 3 3" xfId="6750" xr:uid="{A3E5E55C-B91D-4FEC-9CCB-B8543F22D779}"/>
    <cellStyle name="Percentuale 2 2 5 3 4 4" xfId="2831" xr:uid="{FFFFA9BE-5756-4D6B-BECE-9523CBCECC82}"/>
    <cellStyle name="Percentuale 2 2 5 3 4 4 2" xfId="5145" xr:uid="{53556DE9-8E73-4F3B-A9D4-08CF4917D894}"/>
    <cellStyle name="Percentuale 2 2 5 3 4 4 3" xfId="7139" xr:uid="{54C3CAA8-92EA-479E-9110-7ED5C28E621A}"/>
    <cellStyle name="Percentuale 2 2 5 3 4 5" xfId="1364" xr:uid="{A3049ADB-BB7B-4142-A9DA-AEE7371B85CA}"/>
    <cellStyle name="Percentuale 2 2 5 3 4 6" xfId="3680" xr:uid="{B0C5B9BA-FBE8-4209-A94A-E683FE8E40B6}"/>
    <cellStyle name="Percentuale 2 2 5 3 4 7" xfId="5770" xr:uid="{53CC6DD4-9B1B-4BEA-94EF-BDE28B14CA2F}"/>
    <cellStyle name="Percentuale 2 2 5 3 5" xfId="1741" xr:uid="{50D827E1-0C94-45E0-B6AC-3182CFAA1432}"/>
    <cellStyle name="Percentuale 2 2 5 3 5 2" xfId="4055" xr:uid="{08122742-F581-45AC-A09F-E23E0F454F2F}"/>
    <cellStyle name="Percentuale 2 2 5 3 5 3" xfId="6107" xr:uid="{AC1B66B1-2F93-41CC-92F8-EEC6EB76E129}"/>
    <cellStyle name="Percentuale 2 2 5 3 6" xfId="906" xr:uid="{AF3E5E7D-5F04-4C93-A099-C46E46B84973}"/>
    <cellStyle name="Percentuale 2 2 5 3 6 2" xfId="3289" xr:uid="{DDEE021B-A01B-48CC-B6ED-464A2E605B7A}"/>
    <cellStyle name="Percentuale 2 2 5 3 6 3" xfId="3229" xr:uid="{1B9548A0-3202-4252-B6DB-CB09DBE70A83}"/>
    <cellStyle name="Percentuale 2 2 5 3 7" xfId="1089" xr:uid="{AF368F8C-4F4E-44CA-8C9F-1669B360FF5E}"/>
    <cellStyle name="Percentuale 2 2 5 3 8" xfId="3444" xr:uid="{34C359AC-02D8-40ED-9044-DE96990F96A7}"/>
    <cellStyle name="Percentuale 2 2 5 3 9" xfId="5570" xr:uid="{7A7EC551-3E9A-41EF-B8E1-ED2CA9E266F6}"/>
    <cellStyle name="Percentuale 2 2 5 4" xfId="413" xr:uid="{8D7CA1C6-EDBE-4006-A055-590D20EDA0F5}"/>
    <cellStyle name="Percentuale 2 2 5 4 2" xfId="1890" xr:uid="{25ACFDBF-D682-47E7-B004-D340A3FA6B31}"/>
    <cellStyle name="Percentuale 2 2 5 4 2 2" xfId="4204" xr:uid="{AD627463-A622-410F-B282-10990360C5D5}"/>
    <cellStyle name="Percentuale 2 2 5 4 2 3" xfId="6250" xr:uid="{A646BFA3-37F4-4AA8-920F-41ABDD97EE8A}"/>
    <cellStyle name="Percentuale 2 2 5 4 3" xfId="2346" xr:uid="{EEF0C98A-4FD5-40A2-AB79-5B92836AE490}"/>
    <cellStyle name="Percentuale 2 2 5 4 3 2" xfId="4660" xr:uid="{52D9DB1B-B6B1-47AC-9BBE-DD03F8E2011D}"/>
    <cellStyle name="Percentuale 2 2 5 4 3 3" xfId="6675" xr:uid="{B58C7EFB-E135-43AC-8992-B429B5DA1004}"/>
    <cellStyle name="Percentuale 2 2 5 4 4" xfId="2761" xr:uid="{0BA71EE2-7F96-4EE9-AED3-4B3DAF657F19}"/>
    <cellStyle name="Percentuale 2 2 5 4 4 2" xfId="5075" xr:uid="{164E54E6-2DC3-4C6C-B796-92C2CDC465E8}"/>
    <cellStyle name="Percentuale 2 2 5 4 4 3" xfId="7069" xr:uid="{45FDED89-0DA5-4A1A-9E52-C80B49EE2BE9}"/>
    <cellStyle name="Percentuale 2 2 5 4 5" xfId="1261" xr:uid="{04D6E972-B14F-4A83-9C42-36222EDA6B25}"/>
    <cellStyle name="Percentuale 2 2 5 4 6" xfId="3589" xr:uid="{C2B49A5A-EF7F-4517-B5BE-3C492B44E8C5}"/>
    <cellStyle name="Percentuale 2 2 5 4 7" xfId="5696" xr:uid="{B64A2AEC-327A-4A82-A952-E724C1C355A7}"/>
    <cellStyle name="Percentuale 2 2 5 5" xfId="559" xr:uid="{A462050E-F8A0-40C7-9E65-F4C3AE210B90}"/>
    <cellStyle name="Percentuale 2 2 5 5 2" xfId="2017" xr:uid="{E843EAC3-853C-4F8F-B678-F15C07E7B97B}"/>
    <cellStyle name="Percentuale 2 2 5 5 2 2" xfId="4331" xr:uid="{96561FE9-0C43-4ED6-B8C3-35B0E40F820B}"/>
    <cellStyle name="Percentuale 2 2 5 5 2 3" xfId="6372" xr:uid="{CE180B0D-95F1-48D9-9C55-B7155BDD9779}"/>
    <cellStyle name="Percentuale 2 2 5 5 3" xfId="2469" xr:uid="{05579494-B25A-4AAB-88F1-4AC4DD9B4730}"/>
    <cellStyle name="Percentuale 2 2 5 5 3 2" xfId="4783" xr:uid="{C7D22AC9-01A2-42D4-B7CA-D73F29726A9E}"/>
    <cellStyle name="Percentuale 2 2 5 5 3 3" xfId="6793" xr:uid="{508F8057-E96C-42FD-88DF-CB9F60168081}"/>
    <cellStyle name="Percentuale 2 2 5 5 4" xfId="2874" xr:uid="{6E9DE32C-C8D8-41D7-BF6D-CA04E8D2C370}"/>
    <cellStyle name="Percentuale 2 2 5 5 4 2" xfId="5188" xr:uid="{2B8991B4-1BD3-495B-9822-893AB3034997}"/>
    <cellStyle name="Percentuale 2 2 5 5 4 3" xfId="7182" xr:uid="{0969A28C-33D7-4253-A4E5-C8DED33340F2}"/>
    <cellStyle name="Percentuale 2 2 5 5 5" xfId="1407" xr:uid="{92CD5C82-07C1-4FB7-9A29-1144C4064FED}"/>
    <cellStyle name="Percentuale 2 2 5 5 6" xfId="3723" xr:uid="{E5ECA88B-BF4A-4367-A64F-39E372CA0092}"/>
    <cellStyle name="Percentuale 2 2 5 5 7" xfId="5813" xr:uid="{1EA84DA8-B35E-4867-BC4F-95EE80A8B879}"/>
    <cellStyle name="Percentuale 2 2 5 6" xfId="339" xr:uid="{4529ACC9-747D-4E53-8472-30C56CF2CAC7}"/>
    <cellStyle name="Percentuale 2 2 5 6 2" xfId="1826" xr:uid="{B5A12FCB-1F8F-49B7-9621-13E17A10D184}"/>
    <cellStyle name="Percentuale 2 2 5 6 2 2" xfId="4140" xr:uid="{39256F3E-A6EB-43A2-A19E-369F55917A83}"/>
    <cellStyle name="Percentuale 2 2 5 6 2 3" xfId="6189" xr:uid="{B8A42083-3AEE-41D4-A0B3-F821ECB1D6A1}"/>
    <cellStyle name="Percentuale 2 2 5 6 3" xfId="2281" xr:uid="{74154729-BA40-45BF-AB41-53A78D7A6404}"/>
    <cellStyle name="Percentuale 2 2 5 6 3 2" xfId="4595" xr:uid="{7906FA0C-43C0-43D0-9A50-8D19D87BFB25}"/>
    <cellStyle name="Percentuale 2 2 5 6 3 3" xfId="6617" xr:uid="{FA46988B-C864-41EA-8CB8-949DE5098FF8}"/>
    <cellStyle name="Percentuale 2 2 5 6 4" xfId="2711" xr:uid="{E94F8028-48E2-4FC6-8539-98260F92340E}"/>
    <cellStyle name="Percentuale 2 2 5 6 4 2" xfId="5025" xr:uid="{A6723FDC-A323-4A37-BB13-631399634351}"/>
    <cellStyle name="Percentuale 2 2 5 6 4 3" xfId="7019" xr:uid="{B738A7C0-2881-45A2-B6E5-8D778EA1697C}"/>
    <cellStyle name="Percentuale 2 2 5 6 5" xfId="1187" xr:uid="{C5A89F9C-7795-492E-A74F-2D021B21F9D3}"/>
    <cellStyle name="Percentuale 2 2 5 6 6" xfId="3525" xr:uid="{95BC9407-0C06-4197-893E-F014D466C909}"/>
    <cellStyle name="Percentuale 2 2 5 6 7" xfId="5645" xr:uid="{52C28C5F-68A6-4479-9714-74A27002D6D0}"/>
    <cellStyle name="Percentuale 2 2 5 7" xfId="951" xr:uid="{94CF73E8-8FA5-46B7-9797-C79A33381C9B}"/>
    <cellStyle name="Percentuale 2 2 5 7 2" xfId="3330" xr:uid="{4E1550D5-02E2-4A8D-A2C9-69F04091C12F}"/>
    <cellStyle name="Percentuale 2 2 5 7 3" xfId="3271" xr:uid="{9674B3D6-6B5E-4F7D-AE51-838B21DFFE95}"/>
    <cellStyle name="Percentuale 2 2 5 7 4" xfId="5911" xr:uid="{AA799AFC-0E3D-4223-967C-0A22E188872A}"/>
    <cellStyle name="Percentuale 2 2 5 8" xfId="1641" xr:uid="{C897CFA2-8329-45B8-8E58-DD3538CD76F9}"/>
    <cellStyle name="Percentuale 2 2 5 8 2" xfId="3955" xr:uid="{3E644C56-353E-4DA1-9611-55A35C0A5E19}"/>
    <cellStyle name="Percentuale 2 2 5 8 3" xfId="6015" xr:uid="{252F25C3-1D24-4C21-9ACF-C9A5685EC02D}"/>
    <cellStyle name="Percentuale 2 2 5 9" xfId="1945" xr:uid="{44EE279C-29FB-4E22-8536-6DA156B34E99}"/>
    <cellStyle name="Percentuale 2 2 5 9 2" xfId="4259" xr:uid="{82D33135-AF87-4078-850E-FFA902414A3F}"/>
    <cellStyle name="Percentuale 2 2 5 9 3" xfId="6303" xr:uid="{D946370E-3B8D-4AA3-80F2-8F628DD71AAE}"/>
    <cellStyle name="Percentuale 2 2 6" xfId="97" xr:uid="{74B51380-A6ED-4C63-AD22-7D43479110F7}"/>
    <cellStyle name="Percentuale 2 2 6 10" xfId="847" xr:uid="{9563C52A-7E36-47CE-A1D5-475549E79CBF}"/>
    <cellStyle name="Percentuale 2 2 6 11" xfId="3237" xr:uid="{788E4A7C-3EB4-40CA-92F1-4BE48DB45202}"/>
    <cellStyle name="Percentuale 2 2 6 12" xfId="6859" xr:uid="{519F0F30-58D6-4C08-AFC4-DDEC324F26DF}"/>
    <cellStyle name="Percentuale 2 2 6 2" xfId="169" xr:uid="{FCE84572-498F-415A-BE0C-56F7B85663EF}"/>
    <cellStyle name="Percentuale 2 2 6 2 2" xfId="306" xr:uid="{15CB8A2D-D1FC-4451-A9EA-3EEBB001209D}"/>
    <cellStyle name="Percentuale 2 2 6 2 2 2" xfId="668" xr:uid="{A9B6F1E2-0318-4949-9F0B-E35E312EF246}"/>
    <cellStyle name="Percentuale 2 2 6 2 2 2 2" xfId="2126" xr:uid="{926DDFCE-03D2-4176-8C30-A46E5B4DAB65}"/>
    <cellStyle name="Percentuale 2 2 6 2 2 2 2 2" xfId="4440" xr:uid="{593FF8BA-02A8-4E32-8EC1-345EC8AB3438}"/>
    <cellStyle name="Percentuale 2 2 6 2 2 2 2 3" xfId="8034" xr:uid="{362DF26F-3582-4128-9242-B601ABD8B087}"/>
    <cellStyle name="Percentuale 2 2 6 2 2 2 3" xfId="2578" xr:uid="{B499914B-5C9A-4E72-AB35-40A384C8A21D}"/>
    <cellStyle name="Percentuale 2 2 6 2 2 2 3 2" xfId="4892" xr:uid="{47EE7C5B-EF53-4E89-A186-CD5C7BA21297}"/>
    <cellStyle name="Percentuale 2 2 6 2 2 2 3 3" xfId="8314" xr:uid="{AA29B73F-FD61-4A00-8EC5-492F4CB24AFF}"/>
    <cellStyle name="Percentuale 2 2 6 2 2 2 4" xfId="1516" xr:uid="{590760D5-D1BD-4D3D-A85B-E0ED3F89017F}"/>
    <cellStyle name="Percentuale 2 2 6 2 2 2 5" xfId="3832" xr:uid="{FD2BC860-4416-44A0-A798-7C71934487EF}"/>
    <cellStyle name="Percentuale 2 2 6 2 2 2 6" xfId="7663" xr:uid="{8D3EE851-8425-4B7E-8B8D-9BAE65FB0044}"/>
    <cellStyle name="Percentuale 2 2 6 2 2 3" xfId="740" xr:uid="{F91A480C-9FA8-48F8-8B55-3C685BE087BE}"/>
    <cellStyle name="Percentuale 2 2 6 2 2 3 2" xfId="2198" xr:uid="{35E1482E-E26F-4967-A43D-19F528112A3F}"/>
    <cellStyle name="Percentuale 2 2 6 2 2 3 2 2" xfId="4512" xr:uid="{14A2E79E-6E90-4E80-8E06-A387E26ACFCD}"/>
    <cellStyle name="Percentuale 2 2 6 2 2 3 2 3" xfId="6534" xr:uid="{FA69D0C9-1A26-407C-8B93-BD4D2502D488}"/>
    <cellStyle name="Percentuale 2 2 6 2 2 3 3" xfId="2650" xr:uid="{01842B10-D46E-4BAC-917C-A0CD3028D0B5}"/>
    <cellStyle name="Percentuale 2 2 6 2 2 3 3 2" xfId="4964" xr:uid="{B8D74DA9-3E5E-4D37-A6C0-26B96816F227}"/>
    <cellStyle name="Percentuale 2 2 6 2 2 3 3 3" xfId="6958" xr:uid="{7A64737F-86C7-4393-9560-873A9C83A212}"/>
    <cellStyle name="Percentuale 2 2 6 2 2 3 4" xfId="3025" xr:uid="{345761C2-9C6E-40FE-8671-FA232986631C}"/>
    <cellStyle name="Percentuale 2 2 6 2 2 3 4 2" xfId="5339" xr:uid="{AC103C13-3ED6-4DE3-975F-7E29C597D350}"/>
    <cellStyle name="Percentuale 2 2 6 2 2 3 4 3" xfId="7333" xr:uid="{E794B690-03DA-477F-8EDA-81018BB874AD}"/>
    <cellStyle name="Percentuale 2 2 6 2 2 3 5" xfId="1588" xr:uid="{FB95947B-B023-42A7-A219-AA18EB605D0C}"/>
    <cellStyle name="Percentuale 2 2 6 2 2 3 6" xfId="3904" xr:uid="{D9B4F829-2752-4AEC-8261-CA71296AE2AA}"/>
    <cellStyle name="Percentuale 2 2 6 2 2 3 7" xfId="5971" xr:uid="{B840B24D-4DB5-45DF-A6CB-761D6140CECA}"/>
    <cellStyle name="Percentuale 2 2 6 2 2 4" xfId="538" xr:uid="{32939B31-FBF7-4C6D-9B63-8E98FAC5303F}"/>
    <cellStyle name="Percentuale 2 2 6 2 2 4 2" xfId="1997" xr:uid="{4DC6E6B9-B55F-4AEE-95FA-3C2736794BB9}"/>
    <cellStyle name="Percentuale 2 2 6 2 2 4 2 2" xfId="4311" xr:uid="{D05C33D3-FBD1-46FC-8224-3773CB7787EC}"/>
    <cellStyle name="Percentuale 2 2 6 2 2 4 2 3" xfId="6352" xr:uid="{6BAE0488-03A2-40E4-A7E2-C388589AABEA}"/>
    <cellStyle name="Percentuale 2 2 6 2 2 4 3" xfId="2448" xr:uid="{FCAB4576-272B-4DB1-9DF7-0FC5F7DB119F}"/>
    <cellStyle name="Percentuale 2 2 6 2 2 4 3 2" xfId="4762" xr:uid="{C8A063A7-1E67-4771-89E2-D433B828447A}"/>
    <cellStyle name="Percentuale 2 2 6 2 2 4 3 3" xfId="6772" xr:uid="{A0603A03-3E01-460E-882A-9EB899311E7F}"/>
    <cellStyle name="Percentuale 2 2 6 2 2 4 4" xfId="2853" xr:uid="{1947E59A-ECA2-4A05-AC82-96F7DAD9DBF1}"/>
    <cellStyle name="Percentuale 2 2 6 2 2 4 4 2" xfId="5167" xr:uid="{1FA70C3B-7914-4254-A11A-34EF2876810D}"/>
    <cellStyle name="Percentuale 2 2 6 2 2 4 4 3" xfId="7161" xr:uid="{5F1B00F0-817B-4758-89BE-746E38F392B2}"/>
    <cellStyle name="Percentuale 2 2 6 2 2 4 5" xfId="1386" xr:uid="{AF35CDE0-C37C-4DDF-B9CD-9E55AECD0631}"/>
    <cellStyle name="Percentuale 2 2 6 2 2 4 6" xfId="3702" xr:uid="{4EC0AF64-DF3D-4911-B4F4-345170D639D5}"/>
    <cellStyle name="Percentuale 2 2 6 2 2 4 7" xfId="5792" xr:uid="{5C6B9629-C5F3-4CBA-ACA6-9B0A395B5D75}"/>
    <cellStyle name="Percentuale 2 2 6 2 2 5" xfId="1797" xr:uid="{F6561849-9F47-4A8C-8F05-A75135E097C5}"/>
    <cellStyle name="Percentuale 2 2 6 2 2 5 2" xfId="4111" xr:uid="{1569CE2D-6EA0-4707-A2E0-CE08C34E4A65}"/>
    <cellStyle name="Percentuale 2 2 6 2 2 5 3" xfId="6160" xr:uid="{3C1B6B4F-E5D9-4BA4-B325-9B1B190B8741}"/>
    <cellStyle name="Percentuale 2 2 6 2 2 6" xfId="2254" xr:uid="{C0D27691-B1E2-45F9-A9C8-74DFCBBE5818}"/>
    <cellStyle name="Percentuale 2 2 6 2 2 6 2" xfId="4568" xr:uid="{B89B4C56-B38F-43D9-BB1E-E1810A8AF0E1}"/>
    <cellStyle name="Percentuale 2 2 6 2 2 6 3" xfId="6590" xr:uid="{55869E80-EF81-4940-B36F-CAD8185D33FB}"/>
    <cellStyle name="Percentuale 2 2 6 2 2 7" xfId="1154" xr:uid="{2E7BAE60-283F-4E20-B048-1103203BF1F9}"/>
    <cellStyle name="Percentuale 2 2 6 2 2 8" xfId="3498" xr:uid="{4FBF8D4B-7A64-4FDF-B875-0A5CB94306E1}"/>
    <cellStyle name="Percentuale 2 2 6 2 2 9" xfId="5617" xr:uid="{0E3ADA4B-DDC2-45DF-AB56-302DA076D56B}"/>
    <cellStyle name="Percentuale 2 2 6 2 3" xfId="480" xr:uid="{5714680D-4898-458D-9AD6-E6403FA24F80}"/>
    <cellStyle name="Percentuale 2 2 6 2 3 2" xfId="1944" xr:uid="{6A0FBA13-9D59-4CD2-967C-460CF73CD41A}"/>
    <cellStyle name="Percentuale 2 2 6 2 3 2 2" xfId="4258" xr:uid="{CF8901E3-E004-42BD-B684-CDA090A70D8E}"/>
    <cellStyle name="Percentuale 2 2 6 2 3 2 3" xfId="7919" xr:uid="{28692A9B-5F2D-404D-9B3D-D82B35656819}"/>
    <cellStyle name="Percentuale 2 2 6 2 3 3" xfId="2399" xr:uid="{A5560C8F-C926-4BD4-8062-544F05CC5069}"/>
    <cellStyle name="Percentuale 2 2 6 2 3 3 2" xfId="4713" xr:uid="{90621064-6B7E-443F-9945-F2817917111C}"/>
    <cellStyle name="Percentuale 2 2 6 2 3 3 3" xfId="8201" xr:uid="{33775D79-760C-498E-BA22-B5928EE48B21}"/>
    <cellStyle name="Percentuale 2 2 6 2 3 4" xfId="1328" xr:uid="{45A3DD66-87DE-4080-BC6E-37D66D7DB825}"/>
    <cellStyle name="Percentuale 2 2 6 2 3 5" xfId="3648" xr:uid="{1E4B6FDD-9ADC-4976-8627-05321A46B937}"/>
    <cellStyle name="Percentuale 2 2 6 2 3 6" xfId="7551" xr:uid="{966A18BE-A578-40AF-9EC5-3739B8EB4897}"/>
    <cellStyle name="Percentuale 2 2 6 2 4" xfId="643" xr:uid="{4EAD1082-62A2-4CB1-9B5A-9232B54A3D71}"/>
    <cellStyle name="Percentuale 2 2 6 2 4 2" xfId="2101" xr:uid="{EBA41983-BA80-4C59-A198-BC504A221FC6}"/>
    <cellStyle name="Percentuale 2 2 6 2 4 2 2" xfId="4415" xr:uid="{34439BC7-EC66-422A-91CA-00138B1C8410}"/>
    <cellStyle name="Percentuale 2 2 6 2 4 2 3" xfId="6450" xr:uid="{DFEC17BD-1078-4A6A-A70D-E9BA5034B8B8}"/>
    <cellStyle name="Percentuale 2 2 6 2 4 3" xfId="2553" xr:uid="{B4412929-A6B2-4E62-AC29-13A6ED3E0678}"/>
    <cellStyle name="Percentuale 2 2 6 2 4 3 2" xfId="4867" xr:uid="{B6BE1438-7FB3-4860-86B3-8BBBBF306CC2}"/>
    <cellStyle name="Percentuale 2 2 6 2 4 3 3" xfId="6870" xr:uid="{4CFE0E32-3060-4DF3-93EA-92A2EFA8ACD5}"/>
    <cellStyle name="Percentuale 2 2 6 2 4 4" xfId="2947" xr:uid="{39A88390-7081-49E7-966B-E2FB2CD7FB97}"/>
    <cellStyle name="Percentuale 2 2 6 2 4 4 2" xfId="5261" xr:uid="{843BCD0A-A5BF-4D92-B33D-900CF21DF7CD}"/>
    <cellStyle name="Percentuale 2 2 6 2 4 4 3" xfId="7255" xr:uid="{4DC2AFB3-4458-49A5-B202-48B36F41A211}"/>
    <cellStyle name="Percentuale 2 2 6 2 4 5" xfId="1491" xr:uid="{5E3536A2-0A25-4201-AC5C-7A7EB4D364DA}"/>
    <cellStyle name="Percentuale 2 2 6 2 4 6" xfId="3807" xr:uid="{8CC0B6C7-020D-432C-8235-2F60F96D0113}"/>
    <cellStyle name="Percentuale 2 2 6 2 4 7" xfId="5889" xr:uid="{9667C254-9DC3-4E83-89D9-4AABA4E39A66}"/>
    <cellStyle name="Percentuale 2 2 6 2 5" xfId="2337" xr:uid="{52206F61-F4FB-4CB9-A32B-9DA3E28727CA}"/>
    <cellStyle name="Percentuale 2 2 6 2 5 2" xfId="4651" xr:uid="{64C7C6F9-D604-4F9E-A0E5-35BD1881924C}"/>
    <cellStyle name="Percentuale 2 2 6 2 5 3" xfId="6666" xr:uid="{28F34946-A0A4-4583-BA13-CE41C9BC07E3}"/>
    <cellStyle name="Percentuale 2 2 6 2 6" xfId="1017" xr:uid="{469A59DC-B1A0-4634-A06F-A2594CB19734}"/>
    <cellStyle name="Percentuale 2 2 6 2 7" xfId="3384" xr:uid="{5BE9B809-A172-417F-B710-23786F2B0F8E}"/>
    <cellStyle name="Percentuale 2 2 6 2 8" xfId="3601" xr:uid="{4FBC2B5D-B68C-4FE5-A497-AE4A5734CFBF}"/>
    <cellStyle name="Percentuale 2 2 6 3" xfId="237" xr:uid="{7FFF71DE-D123-4097-9092-69BB82D01B05}"/>
    <cellStyle name="Percentuale 2 2 6 3 2" xfId="622" xr:uid="{2262BFF7-8F72-49D0-B993-19D74065DCF4}"/>
    <cellStyle name="Percentuale 2 2 6 3 2 2" xfId="2080" xr:uid="{5BFE2590-36B8-4D67-A015-061F95B0F9E9}"/>
    <cellStyle name="Percentuale 2 2 6 3 2 2 2" xfId="4394" xr:uid="{462D2898-86E8-4C0B-887B-458295876321}"/>
    <cellStyle name="Percentuale 2 2 6 3 2 2 3" xfId="7991" xr:uid="{1CDBDE8F-9B13-4807-BDF1-F0796C3D0AB5}"/>
    <cellStyle name="Percentuale 2 2 6 3 2 3" xfId="2532" xr:uid="{B7C97676-CA11-41D1-898B-04782C935DDD}"/>
    <cellStyle name="Percentuale 2 2 6 3 2 3 2" xfId="4846" xr:uid="{A85D587B-9005-401F-8580-F2F93C1C24D0}"/>
    <cellStyle name="Percentuale 2 2 6 3 2 3 3" xfId="8271" xr:uid="{4168DBBC-EDB2-46A1-A9D5-3F8FEF39E8CE}"/>
    <cellStyle name="Percentuale 2 2 6 3 2 4" xfId="1470" xr:uid="{E6A21284-4E14-4B27-BA85-8BCB33A85BCC}"/>
    <cellStyle name="Percentuale 2 2 6 3 2 5" xfId="3786" xr:uid="{5C308381-9987-4DD8-9C6E-8162339D1846}"/>
    <cellStyle name="Percentuale 2 2 6 3 2 6" xfId="7620" xr:uid="{B556992B-838D-465A-8958-6BA1890F0B39}"/>
    <cellStyle name="Percentuale 2 2 6 3 3" xfId="698" xr:uid="{B59940E1-3CCA-490B-B36F-1DB0ECEEB370}"/>
    <cellStyle name="Percentuale 2 2 6 3 3 2" xfId="2156" xr:uid="{B30CF8BC-E631-4ED0-A83B-3D57C6F44E7D}"/>
    <cellStyle name="Percentuale 2 2 6 3 3 2 2" xfId="4470" xr:uid="{A1854DA8-1661-4FBE-AB05-5F983A6B8440}"/>
    <cellStyle name="Percentuale 2 2 6 3 3 2 3" xfId="6492" xr:uid="{50D9A8B7-B960-4294-BFE0-43A00CC18339}"/>
    <cellStyle name="Percentuale 2 2 6 3 3 3" xfId="2608" xr:uid="{224BECCF-285E-4CD2-BF32-8431670F458B}"/>
    <cellStyle name="Percentuale 2 2 6 3 3 3 2" xfId="4922" xr:uid="{F38EBC26-5196-4A89-8279-A92A81F6DCB5}"/>
    <cellStyle name="Percentuale 2 2 6 3 3 3 3" xfId="6916" xr:uid="{936A2E06-8E4D-48B9-AB6C-657C91FC2EA2}"/>
    <cellStyle name="Percentuale 2 2 6 3 3 4" xfId="2983" xr:uid="{A343B5C4-8BCE-4634-89C6-C10BDAE264FA}"/>
    <cellStyle name="Percentuale 2 2 6 3 3 4 2" xfId="5297" xr:uid="{99397131-B656-49C7-BB05-1B077737B0F3}"/>
    <cellStyle name="Percentuale 2 2 6 3 3 4 3" xfId="7291" xr:uid="{E6CB2435-1702-4A38-8D17-6BC96742935A}"/>
    <cellStyle name="Percentuale 2 2 6 3 3 5" xfId="1546" xr:uid="{07175E1E-E564-4DFB-B4DC-97B57687A953}"/>
    <cellStyle name="Percentuale 2 2 6 3 3 6" xfId="3862" xr:uid="{F6BDB2A5-B95E-427A-ABB6-C60884BBB9FE}"/>
    <cellStyle name="Percentuale 2 2 6 3 3 7" xfId="5929" xr:uid="{CAC9BC66-245A-4AB1-B672-F2A09E5F371B}"/>
    <cellStyle name="Percentuale 2 2 6 3 4" xfId="514" xr:uid="{37C821D5-FDF6-4BA6-9CD2-7E5ADABDF1E9}"/>
    <cellStyle name="Percentuale 2 2 6 3 4 2" xfId="1973" xr:uid="{14F730EC-5A08-40AC-B841-0E99A398228A}"/>
    <cellStyle name="Percentuale 2 2 6 3 4 2 2" xfId="4287" xr:uid="{004AB951-328D-4D0C-AC4E-A4C3FBF6E8EB}"/>
    <cellStyle name="Percentuale 2 2 6 3 4 2 3" xfId="6328" xr:uid="{06D6A728-DC46-4C89-8963-356958C1A405}"/>
    <cellStyle name="Percentuale 2 2 6 3 4 3" xfId="2424" xr:uid="{4CF91CFB-4641-44D1-9C18-E21EDE3C0D19}"/>
    <cellStyle name="Percentuale 2 2 6 3 4 3 2" xfId="4738" xr:uid="{C07498F2-E048-4E2E-9260-D48A91CC963C}"/>
    <cellStyle name="Percentuale 2 2 6 3 4 3 3" xfId="6748" xr:uid="{4DF7EA4D-7E76-48CF-98B1-A4E779CE4F5A}"/>
    <cellStyle name="Percentuale 2 2 6 3 4 4" xfId="2829" xr:uid="{C7396690-42C5-46A1-BBFB-47B6FD40B325}"/>
    <cellStyle name="Percentuale 2 2 6 3 4 4 2" xfId="5143" xr:uid="{A56E1F58-4A13-446D-A5B0-50AF40BEF814}"/>
    <cellStyle name="Percentuale 2 2 6 3 4 4 3" xfId="7137" xr:uid="{D43D8448-5C72-4A1F-A4B1-131C10358B7A}"/>
    <cellStyle name="Percentuale 2 2 6 3 4 5" xfId="1362" xr:uid="{EC2688FF-B702-4C9B-87BB-1F58F04B9753}"/>
    <cellStyle name="Percentuale 2 2 6 3 4 6" xfId="3678" xr:uid="{6A362146-BEBA-4EDE-A915-25723D43E9E6}"/>
    <cellStyle name="Percentuale 2 2 6 3 4 7" xfId="5768" xr:uid="{A45A71F4-6A85-4AA4-A94D-35C32A08B6C4}"/>
    <cellStyle name="Percentuale 2 2 6 3 5" xfId="1738" xr:uid="{096080CA-B96E-4135-B63C-A36BCD6D2406}"/>
    <cellStyle name="Percentuale 2 2 6 3 5 2" xfId="4052" xr:uid="{319750D9-342C-4E70-89E0-78182768E70F}"/>
    <cellStyle name="Percentuale 2 2 6 3 5 3" xfId="6104" xr:uid="{82F2206F-7311-4650-A73A-35BDDB4ABA4F}"/>
    <cellStyle name="Percentuale 2 2 6 3 6" xfId="1796" xr:uid="{DBB99330-2C2D-4736-A818-8DD0A36CB92B}"/>
    <cellStyle name="Percentuale 2 2 6 3 6 2" xfId="4110" xr:uid="{C261F4FE-0397-43C7-9AA5-28033D4911A9}"/>
    <cellStyle name="Percentuale 2 2 6 3 6 3" xfId="6159" xr:uid="{031F7DE7-9684-4B1D-BE54-901E4E2CDC23}"/>
    <cellStyle name="Percentuale 2 2 6 3 7" xfId="1085" xr:uid="{2325C317-1BD7-4B88-AC35-CF43128C77FE}"/>
    <cellStyle name="Percentuale 2 2 6 3 8" xfId="3441" xr:uid="{FCCB0C55-9889-441E-BB1F-1A0250EAEC46}"/>
    <cellStyle name="Percentuale 2 2 6 3 9" xfId="5567" xr:uid="{00AA4853-080B-4B26-8D7A-F668EDAF07E0}"/>
    <cellStyle name="Percentuale 2 2 6 4" xfId="409" xr:uid="{892C3A03-8E0A-4645-BD9E-64A8184134BC}"/>
    <cellStyle name="Percentuale 2 2 6 4 2" xfId="1886" xr:uid="{17533CAC-9BEE-4179-801C-E3403F76B67D}"/>
    <cellStyle name="Percentuale 2 2 6 4 2 2" xfId="4200" xr:uid="{737A0470-14C8-4B09-84E5-BF01F8B17304}"/>
    <cellStyle name="Percentuale 2 2 6 4 2 3" xfId="6246" xr:uid="{0E05C20E-F0FD-469C-8D99-2A222213FDF4}"/>
    <cellStyle name="Percentuale 2 2 6 4 3" xfId="2343" xr:uid="{EC80BB1F-42A4-46EA-8B13-CF8FAA3AFFA5}"/>
    <cellStyle name="Percentuale 2 2 6 4 3 2" xfId="4657" xr:uid="{491D736E-33F8-4C4B-8BA8-759A6144085A}"/>
    <cellStyle name="Percentuale 2 2 6 4 3 3" xfId="6672" xr:uid="{24861874-6245-4F39-A986-0A596633C2EE}"/>
    <cellStyle name="Percentuale 2 2 6 4 4" xfId="2758" xr:uid="{8071A8B1-7C64-44C3-BBB5-3B4CDE40E1DE}"/>
    <cellStyle name="Percentuale 2 2 6 4 4 2" xfId="5072" xr:uid="{5B4EF3A0-1543-4CB0-BEF9-C911C6BC6FA9}"/>
    <cellStyle name="Percentuale 2 2 6 4 4 3" xfId="7066" xr:uid="{2CF9B773-EE44-4029-B9C4-387203587C85}"/>
    <cellStyle name="Percentuale 2 2 6 4 5" xfId="1257" xr:uid="{D8AA0532-8F11-484F-A243-F3A8DAE2ED46}"/>
    <cellStyle name="Percentuale 2 2 6 4 6" xfId="3586" xr:uid="{7B42A87E-CBB2-4B26-9A40-F7919BD41068}"/>
    <cellStyle name="Percentuale 2 2 6 4 7" xfId="5693" xr:uid="{E04F61D1-2F52-49D2-B4BD-60631783347C}"/>
    <cellStyle name="Percentuale 2 2 6 5" xfId="557" xr:uid="{5CA85755-034A-4FBD-BEE9-129383BCDF50}"/>
    <cellStyle name="Percentuale 2 2 6 5 2" xfId="2015" xr:uid="{FA2AD51F-9385-4A7C-A923-618BDFD5E5E3}"/>
    <cellStyle name="Percentuale 2 2 6 5 2 2" xfId="4329" xr:uid="{1A696EEA-74DE-4B5F-88CE-D30F714F2E3D}"/>
    <cellStyle name="Percentuale 2 2 6 5 2 3" xfId="6370" xr:uid="{35968A9E-15C1-44DA-988A-BB653B8771B8}"/>
    <cellStyle name="Percentuale 2 2 6 5 3" xfId="2467" xr:uid="{678BE330-5468-4744-A45A-9D0518786065}"/>
    <cellStyle name="Percentuale 2 2 6 5 3 2" xfId="4781" xr:uid="{1E1DA690-FF13-4FAA-9BA3-B3339C79E002}"/>
    <cellStyle name="Percentuale 2 2 6 5 3 3" xfId="6791" xr:uid="{CD0ECFED-EBC0-46A4-8F26-D9F247C76A81}"/>
    <cellStyle name="Percentuale 2 2 6 5 4" xfId="2872" xr:uid="{57013201-6D18-40BF-ACB1-86A50A0A7898}"/>
    <cellStyle name="Percentuale 2 2 6 5 4 2" xfId="5186" xr:uid="{81C83EA3-DA33-429F-B81F-D23BF937E0E4}"/>
    <cellStyle name="Percentuale 2 2 6 5 4 3" xfId="7180" xr:uid="{443D923E-B26E-443C-9EED-616500EFCB3B}"/>
    <cellStyle name="Percentuale 2 2 6 5 5" xfId="1405" xr:uid="{5109CB16-D2B0-4419-9892-DCF5E3A3B97A}"/>
    <cellStyle name="Percentuale 2 2 6 5 6" xfId="3721" xr:uid="{521028A9-097C-4925-93FC-D1D86D85B0E8}"/>
    <cellStyle name="Percentuale 2 2 6 5 7" xfId="5811" xr:uid="{27120FBB-D0B4-4CB5-9A04-85CB7CD8B270}"/>
    <cellStyle name="Percentuale 2 2 6 6" xfId="337" xr:uid="{4E883ACE-0FE0-4F58-BFE8-34E6913A5CCB}"/>
    <cellStyle name="Percentuale 2 2 6 6 2" xfId="1824" xr:uid="{04F574D0-733D-4F1A-A2EC-90A63711B0FD}"/>
    <cellStyle name="Percentuale 2 2 6 6 2 2" xfId="4138" xr:uid="{4D1349DE-838C-4879-AE91-5567607CCB47}"/>
    <cellStyle name="Percentuale 2 2 6 6 2 3" xfId="6187" xr:uid="{8D8029C4-64E9-44B2-BD57-7DDB6251040D}"/>
    <cellStyle name="Percentuale 2 2 6 6 3" xfId="2279" xr:uid="{B3B65E9E-E0D7-4BA5-8CC6-6E26C45C9D42}"/>
    <cellStyle name="Percentuale 2 2 6 6 3 2" xfId="4593" xr:uid="{82E25BB9-73D5-46F6-B8BB-B3024D64890F}"/>
    <cellStyle name="Percentuale 2 2 6 6 3 3" xfId="6615" xr:uid="{666205EA-1E8B-448C-A060-6A515BDE93F2}"/>
    <cellStyle name="Percentuale 2 2 6 6 4" xfId="2709" xr:uid="{BC09527E-FD0E-4EED-8E32-C67B87645691}"/>
    <cellStyle name="Percentuale 2 2 6 6 4 2" xfId="5023" xr:uid="{EB29C8ED-448C-4D29-981E-D5EB52FED20D}"/>
    <cellStyle name="Percentuale 2 2 6 6 4 3" xfId="7017" xr:uid="{00573F0F-45FA-4AFA-86A2-C68A16B206A0}"/>
    <cellStyle name="Percentuale 2 2 6 6 5" xfId="1185" xr:uid="{9DFB6383-A846-40AF-A7D9-C7E8DD23BC92}"/>
    <cellStyle name="Percentuale 2 2 6 6 6" xfId="3523" xr:uid="{A6CB4C38-2EED-4937-B1A4-370A6317763F}"/>
    <cellStyle name="Percentuale 2 2 6 6 7" xfId="5643" xr:uid="{7C912CC9-62CF-4DFA-8225-3BF4E38FD966}"/>
    <cellStyle name="Percentuale 2 2 6 7" xfId="947" xr:uid="{677998D3-4596-49AC-B1B1-366C2B2D1551}"/>
    <cellStyle name="Percentuale 2 2 6 7 2" xfId="3328" xr:uid="{C843305E-9032-4400-8380-DAB423F545CD}"/>
    <cellStyle name="Percentuale 2 2 6 7 3" xfId="3495" xr:uid="{A4F469F3-0571-4414-91BF-CA3558896947}"/>
    <cellStyle name="Percentuale 2 2 6 7 4" xfId="6112" xr:uid="{89CCC8F3-8064-443F-A930-EF9B24A8445A}"/>
    <cellStyle name="Percentuale 2 2 6 8" xfId="1637" xr:uid="{D8EDCE3A-996A-41EC-A848-B77D7C4D4789}"/>
    <cellStyle name="Percentuale 2 2 6 8 2" xfId="3951" xr:uid="{6093C2D9-6DCF-4415-9084-CD8F9EC5BFF3}"/>
    <cellStyle name="Percentuale 2 2 6 8 3" xfId="6011" xr:uid="{9317B246-A19A-47E8-AA5E-4C64B489F21F}"/>
    <cellStyle name="Percentuale 2 2 6 9" xfId="1770" xr:uid="{BE3839F1-6BE1-4843-9FE8-02557996F0D0}"/>
    <cellStyle name="Percentuale 2 2 6 9 2" xfId="4084" xr:uid="{96C2D1A7-8378-4F4B-A813-6BB7B08A6ACD}"/>
    <cellStyle name="Percentuale 2 2 6 9 3" xfId="6133" xr:uid="{D45C00CB-4B9A-4480-A039-3DF8D24203D8}"/>
    <cellStyle name="Percentuale 2 2 7" xfId="138" xr:uid="{7E0C899D-9B63-4A8E-B5BE-AA58D266B692}"/>
    <cellStyle name="Percentuale 2 2 7 10" xfId="784" xr:uid="{59834CE1-059F-4721-927B-D300628D472D}"/>
    <cellStyle name="Percentuale 2 2 7 11" xfId="788" xr:uid="{3F3EABB6-3041-4AE9-BBEE-CD64854AFB0B}"/>
    <cellStyle name="Percentuale 2 2 7 12" xfId="6322" xr:uid="{352CD847-258B-499B-9276-AFA8D9502567}"/>
    <cellStyle name="Percentuale 2 2 7 2" xfId="277" xr:uid="{E488018A-682F-4811-B0A9-413F2327D046}"/>
    <cellStyle name="Percentuale 2 2 7 2 2" xfId="647" xr:uid="{5D2E39FD-FFAB-4EB4-886E-3F80B90A26E2}"/>
    <cellStyle name="Percentuale 2 2 7 2 2 2" xfId="2105" xr:uid="{CEE2912D-8826-4E81-B53F-C0AD5757228A}"/>
    <cellStyle name="Percentuale 2 2 7 2 2 2 2" xfId="4419" xr:uid="{A81B6750-DA0D-40BA-A5B1-403C92254236}"/>
    <cellStyle name="Percentuale 2 2 7 2 2 2 3" xfId="8014" xr:uid="{54C9C972-340E-4E5A-B5A3-D2F1DD7CDFD4}"/>
    <cellStyle name="Percentuale 2 2 7 2 2 3" xfId="2557" xr:uid="{FFBF2FD0-F5A0-41B0-BB97-79409A97F4E0}"/>
    <cellStyle name="Percentuale 2 2 7 2 2 3 2" xfId="4871" xr:uid="{57FD8CDF-26FA-4765-A22E-B7EAD7FCA3EB}"/>
    <cellStyle name="Percentuale 2 2 7 2 2 3 3" xfId="8294" xr:uid="{948143B7-A60B-4E7A-B907-49C265C732C2}"/>
    <cellStyle name="Percentuale 2 2 7 2 2 4" xfId="1495" xr:uid="{1A471CBB-7030-4988-AABA-F3AD396D951D}"/>
    <cellStyle name="Percentuale 2 2 7 2 2 5" xfId="3811" xr:uid="{E6B29DAC-DD68-4AF8-8DB7-673B49AA3DD2}"/>
    <cellStyle name="Percentuale 2 2 7 2 2 6" xfId="7643" xr:uid="{30F8982C-F10A-480D-A629-F52ECB9D96DA}"/>
    <cellStyle name="Percentuale 2 2 7 2 3" xfId="723" xr:uid="{B5AC407E-1D00-48A9-9178-070A7BF7830B}"/>
    <cellStyle name="Percentuale 2 2 7 2 3 2" xfId="2181" xr:uid="{D859FDC2-EA4A-4907-8D2C-9C7666B1D001}"/>
    <cellStyle name="Percentuale 2 2 7 2 3 2 2" xfId="4495" xr:uid="{71BCDE53-8B3D-4F95-BA3F-A6AC01E1527B}"/>
    <cellStyle name="Percentuale 2 2 7 2 3 2 3" xfId="6517" xr:uid="{F8092B19-FE1D-4F57-965B-6A6298234E7C}"/>
    <cellStyle name="Percentuale 2 2 7 2 3 3" xfId="2633" xr:uid="{C574BA43-4E9A-4892-9766-D9B5857FEEC0}"/>
    <cellStyle name="Percentuale 2 2 7 2 3 3 2" xfId="4947" xr:uid="{1E21A4F9-8FA5-4963-9164-4570F404FA31}"/>
    <cellStyle name="Percentuale 2 2 7 2 3 3 3" xfId="6941" xr:uid="{F293A49F-60E3-4F7E-9855-C9F954CEDD67}"/>
    <cellStyle name="Percentuale 2 2 7 2 3 4" xfId="3008" xr:uid="{F7498DAD-6422-4A7D-95E9-D12B70985DEF}"/>
    <cellStyle name="Percentuale 2 2 7 2 3 4 2" xfId="5322" xr:uid="{818DB0B5-C643-4BF7-A51D-F703ACC9B8D8}"/>
    <cellStyle name="Percentuale 2 2 7 2 3 4 3" xfId="7316" xr:uid="{E4383076-3363-4532-9AE3-E594DF028939}"/>
    <cellStyle name="Percentuale 2 2 7 2 3 5" xfId="1571" xr:uid="{6105C51B-B95B-481B-8DB9-252952C4CDA2}"/>
    <cellStyle name="Percentuale 2 2 7 2 3 6" xfId="3887" xr:uid="{ED7461EA-FFE2-4A86-B053-116FAFD12C4F}"/>
    <cellStyle name="Percentuale 2 2 7 2 3 7" xfId="5954" xr:uid="{63FAC81F-0336-4ABA-A49D-C8B5467241BD}"/>
    <cellStyle name="Percentuale 2 2 7 2 4" xfId="530" xr:uid="{A1ABD51B-39F1-40B1-88B5-9E476849EB72}"/>
    <cellStyle name="Percentuale 2 2 7 2 4 2" xfId="1989" xr:uid="{419B01D5-2DC8-42F2-B519-1652DE4AAF3D}"/>
    <cellStyle name="Percentuale 2 2 7 2 4 2 2" xfId="4303" xr:uid="{1D9E553D-4C07-4CAA-A19B-C7A812ED3C20}"/>
    <cellStyle name="Percentuale 2 2 7 2 4 2 3" xfId="6344" xr:uid="{909EFB8A-53DB-4F3D-BBB2-EE7D1CBB4A05}"/>
    <cellStyle name="Percentuale 2 2 7 2 4 3" xfId="2440" xr:uid="{CCAA6461-B64F-4DAC-8005-CEE6009DC678}"/>
    <cellStyle name="Percentuale 2 2 7 2 4 3 2" xfId="4754" xr:uid="{1FF9E576-355C-4C3F-B58F-4D6A11503861}"/>
    <cellStyle name="Percentuale 2 2 7 2 4 3 3" xfId="6764" xr:uid="{0FD5E10A-C3DD-45C6-978E-54C1473877AA}"/>
    <cellStyle name="Percentuale 2 2 7 2 4 4" xfId="2845" xr:uid="{181DC40E-57BC-44FB-99F6-D7F460F3D815}"/>
    <cellStyle name="Percentuale 2 2 7 2 4 4 2" xfId="5159" xr:uid="{A2A3DDE2-FC84-4CFF-AEC5-FD4EDCA53EC6}"/>
    <cellStyle name="Percentuale 2 2 7 2 4 4 3" xfId="7153" xr:uid="{122F2CC8-C5CB-4343-BB03-EDE2A978A8C6}"/>
    <cellStyle name="Percentuale 2 2 7 2 4 5" xfId="1378" xr:uid="{C1DA18C6-1043-41D6-920A-CCA07E706B38}"/>
    <cellStyle name="Percentuale 2 2 7 2 4 6" xfId="3694" xr:uid="{1A125E05-FBFA-4DBB-B64B-8D1CF68A8C05}"/>
    <cellStyle name="Percentuale 2 2 7 2 4 7" xfId="5784" xr:uid="{ED2AB874-C976-4710-86BB-EC63D21A5B4C}"/>
    <cellStyle name="Percentuale 2 2 7 2 5" xfId="1771" xr:uid="{7835A945-6BE8-4D24-881D-67C73C62EE37}"/>
    <cellStyle name="Percentuale 2 2 7 2 5 2" xfId="4085" xr:uid="{AB49ADFD-7EFB-4ABC-9137-18D45998359B}"/>
    <cellStyle name="Percentuale 2 2 7 2 5 3" xfId="6134" xr:uid="{FC1FE7AA-5333-4935-91BB-8DEB6AB01C93}"/>
    <cellStyle name="Percentuale 2 2 7 2 6" xfId="2232" xr:uid="{92FBDDAB-6629-44F9-B321-E347C70745E6}"/>
    <cellStyle name="Percentuale 2 2 7 2 6 2" xfId="4546" xr:uid="{41C0C3CA-B7DF-418A-8D6C-C0A22920798F}"/>
    <cellStyle name="Percentuale 2 2 7 2 6 3" xfId="6568" xr:uid="{217DC7C7-E6DA-4C32-8AD7-71DEC7F5412B}"/>
    <cellStyle name="Percentuale 2 2 7 2 7" xfId="1125" xr:uid="{6540ECFF-63FE-4936-A363-1C43522D65CB}"/>
    <cellStyle name="Percentuale 2 2 7 2 8" xfId="3476" xr:uid="{36F0D644-30AB-4F03-8A28-9A8C604BDE22}"/>
    <cellStyle name="Percentuale 2 2 7 2 9" xfId="5596" xr:uid="{6703F918-7560-41DB-88D1-C38D9E4BA2F8}"/>
    <cellStyle name="Percentuale 2 2 7 3" xfId="449" xr:uid="{276A071B-5A26-48FF-AEAF-DE2E393A37B0}"/>
    <cellStyle name="Percentuale 2 2 7 3 2" xfId="1918" xr:uid="{64BBDD6E-1A36-4702-9C8B-BA95A9705FA0}"/>
    <cellStyle name="Percentuale 2 2 7 3 2 2" xfId="4232" xr:uid="{2C1FEA3F-C160-42D7-AB69-27533660D202}"/>
    <cellStyle name="Percentuale 2 2 7 3 2 3" xfId="6277" xr:uid="{1A19CC5A-5789-4BB4-9843-8FE526834495}"/>
    <cellStyle name="Percentuale 2 2 7 3 3" xfId="2374" xr:uid="{AB84344F-E905-45E3-B70D-E5B3F6BC83FB}"/>
    <cellStyle name="Percentuale 2 2 7 3 3 2" xfId="4688" xr:uid="{F800FFF9-3544-455D-A6BC-4E7603299E76}"/>
    <cellStyle name="Percentuale 2 2 7 3 3 3" xfId="6701" xr:uid="{11BBA4EB-2893-40C6-AF06-5BCE2F216874}"/>
    <cellStyle name="Percentuale 2 2 7 3 4" xfId="2785" xr:uid="{71297979-8F7A-49ED-8A46-767A745FCAAB}"/>
    <cellStyle name="Percentuale 2 2 7 3 4 2" xfId="5099" xr:uid="{2AFD124F-CB6E-49DA-9098-716E66E8D9DD}"/>
    <cellStyle name="Percentuale 2 2 7 3 4 3" xfId="7093" xr:uid="{895873B2-C7EC-44C8-8379-073623A0F4B9}"/>
    <cellStyle name="Percentuale 2 2 7 3 5" xfId="1297" xr:uid="{28F1B5B4-B50E-48F3-9E09-C4D36B6C6294}"/>
    <cellStyle name="Percentuale 2 2 7 3 6" xfId="3622" xr:uid="{EC35869C-A013-4167-A96F-6AB88C74EF5A}"/>
    <cellStyle name="Percentuale 2 2 7 3 7" xfId="5721" xr:uid="{98CE8354-B3C5-4CE9-A5A1-366672321691}"/>
    <cellStyle name="Percentuale 2 2 7 4" xfId="583" xr:uid="{8830605A-369E-492D-9CAC-BAB764F35B82}"/>
    <cellStyle name="Percentuale 2 2 7 4 2" xfId="2041" xr:uid="{C56FC5F4-82BA-4014-A48F-A27932437789}"/>
    <cellStyle name="Percentuale 2 2 7 4 2 2" xfId="4355" xr:uid="{293B5F3B-3624-494F-85DC-1487F08B958F}"/>
    <cellStyle name="Percentuale 2 2 7 4 2 3" xfId="6396" xr:uid="{49EE8A4C-3F90-4AC8-BD5F-52859E87FE62}"/>
    <cellStyle name="Percentuale 2 2 7 4 3" xfId="2493" xr:uid="{F4BF8835-8EA7-40DB-A5B3-45ACB649FE2E}"/>
    <cellStyle name="Percentuale 2 2 7 4 3 2" xfId="4807" xr:uid="{3CF153E0-95B6-4B47-9A46-568831B38AF1}"/>
    <cellStyle name="Percentuale 2 2 7 4 3 3" xfId="6817" xr:uid="{055F4D59-2AD2-4B25-ABDF-726DDAB5D3A2}"/>
    <cellStyle name="Percentuale 2 2 7 4 4" xfId="2898" xr:uid="{040D8C78-1629-4B5B-AA35-6CAAFB295696}"/>
    <cellStyle name="Percentuale 2 2 7 4 4 2" xfId="5212" xr:uid="{2B7E3861-02A8-49D2-A765-DC266D137635}"/>
    <cellStyle name="Percentuale 2 2 7 4 4 3" xfId="7206" xr:uid="{F8A2F401-B17A-472F-8303-3826F3EE9DE6}"/>
    <cellStyle name="Percentuale 2 2 7 4 5" xfId="1431" xr:uid="{37DEC4BC-EB19-4E9F-B966-4C6A1FB75366}"/>
    <cellStyle name="Percentuale 2 2 7 4 6" xfId="3747" xr:uid="{DEBA9E91-A218-4A43-B157-01077DC992EF}"/>
    <cellStyle name="Percentuale 2 2 7 4 7" xfId="5837" xr:uid="{3D09A02A-2227-478F-AC4E-2B41AD0853E9}"/>
    <cellStyle name="Percentuale 2 2 7 5" xfId="352" xr:uid="{F19A342B-993A-4325-94D4-0B19440CC7B0}"/>
    <cellStyle name="Percentuale 2 2 7 5 2" xfId="1839" xr:uid="{D614C4CC-B29E-4FEE-93CB-EA56A19E85C3}"/>
    <cellStyle name="Percentuale 2 2 7 5 2 2" xfId="4153" xr:uid="{AB1D6BC4-7382-4661-8FFD-7E02183ADE36}"/>
    <cellStyle name="Percentuale 2 2 7 5 2 3" xfId="6202" xr:uid="{6F4EBAD4-3A53-4EA1-ADC0-18891F1B6909}"/>
    <cellStyle name="Percentuale 2 2 7 5 3" xfId="2294" xr:uid="{AB91BAB0-FE4E-44AC-9FDD-1648EB531F94}"/>
    <cellStyle name="Percentuale 2 2 7 5 3 2" xfId="4608" xr:uid="{777FDA47-FFCD-4FA2-8B68-75BC32D41325}"/>
    <cellStyle name="Percentuale 2 2 7 5 3 3" xfId="6630" xr:uid="{DE58E17C-3D6B-4649-B0F9-3FD915FCFA80}"/>
    <cellStyle name="Percentuale 2 2 7 5 4" xfId="2724" xr:uid="{9908F5CB-5190-4B1C-B721-C45C37FAA81E}"/>
    <cellStyle name="Percentuale 2 2 7 5 4 2" xfId="5038" xr:uid="{5DFFCD90-EA61-48CF-85F8-0D2D3526E7EC}"/>
    <cellStyle name="Percentuale 2 2 7 5 4 3" xfId="7032" xr:uid="{2CC14C09-2441-4026-B30A-3C8934B97A72}"/>
    <cellStyle name="Percentuale 2 2 7 5 5" xfId="1200" xr:uid="{A781B652-CD81-425B-A8DD-F74E53254282}"/>
    <cellStyle name="Percentuale 2 2 7 5 6" xfId="3538" xr:uid="{4DFFB478-03CA-47CC-990D-946D0A73DC9B}"/>
    <cellStyle name="Percentuale 2 2 7 5 7" xfId="5658" xr:uid="{C1A3AF82-0C51-48A1-BF3A-7678A84E912A}"/>
    <cellStyle name="Percentuale 2 2 7 6" xfId="988" xr:uid="{DCAA8410-BA09-47E7-87B8-BD9D121F938F}"/>
    <cellStyle name="Percentuale 2 2 7 6 2" xfId="3361" xr:uid="{4FE81E9C-5C5A-4581-8464-F7DAC8B63F48}"/>
    <cellStyle name="Percentuale 2 2 7 6 3" xfId="3554" xr:uid="{E21DD1C3-3111-46A9-8E7E-294CFA48B38E}"/>
    <cellStyle name="Percentuale 2 2 7 6 4" xfId="3320" xr:uid="{35D7EA86-0AC3-4192-91CB-44D0AB2966BB}"/>
    <cellStyle name="Percentuale 2 2 7 7" xfId="1672" xr:uid="{4B4804A3-9C3E-45D9-9637-448FDC6069C9}"/>
    <cellStyle name="Percentuale 2 2 7 7 2" xfId="3986" xr:uid="{17A820EF-F9D8-45BF-A4AF-E9E1CED456D8}"/>
    <cellStyle name="Percentuale 2 2 7 7 3" xfId="6042" xr:uid="{34AA1B56-7F2F-479E-BE62-8AB0F50A262E}"/>
    <cellStyle name="Percentuale 2 2 7 8" xfId="915" xr:uid="{1C545848-5910-452B-91AF-E4B0E2600F11}"/>
    <cellStyle name="Percentuale 2 2 7 8 2" xfId="3297" xr:uid="{5C54920E-528C-4813-804E-59032230E1D2}"/>
    <cellStyle name="Percentuale 2 2 7 8 3" xfId="3432" xr:uid="{0BAABF24-EED9-4473-9309-139EE9C060FB}"/>
    <cellStyle name="Percentuale 2 2 7 9" xfId="804" xr:uid="{A96649EB-3BE1-4056-A5C8-8B4D8EA4BBBB}"/>
    <cellStyle name="Percentuale 2 2 8" xfId="207" xr:uid="{40157CA0-1701-4758-8105-04A8E7FA6205}"/>
    <cellStyle name="Percentuale 2 2 8 2" xfId="608" xr:uid="{2B5F60B5-907A-4F8A-86C4-56EA4DB109BA}"/>
    <cellStyle name="Percentuale 2 2 8 2 2" xfId="2066" xr:uid="{387FAB28-7C84-430F-B374-B351D5FBF935}"/>
    <cellStyle name="Percentuale 2 2 8 2 2 2" xfId="4380" xr:uid="{F192CB26-60E3-465B-98D7-5E9118A49267}"/>
    <cellStyle name="Percentuale 2 2 8 2 2 3" xfId="7978" xr:uid="{392BD129-80B4-430C-A490-86FA51B7B80E}"/>
    <cellStyle name="Percentuale 2 2 8 2 3" xfId="2518" xr:uid="{1A9CC0C3-E11E-40F8-9624-E298C23456A3}"/>
    <cellStyle name="Percentuale 2 2 8 2 3 2" xfId="4832" xr:uid="{689F5EB0-6099-45A7-AEBA-0700B249CE30}"/>
    <cellStyle name="Percentuale 2 2 8 2 3 3" xfId="8258" xr:uid="{13C752F5-72F3-4260-BE62-A3C39EB35B54}"/>
    <cellStyle name="Percentuale 2 2 8 2 4" xfId="1456" xr:uid="{BE70C10F-78D5-48C6-8A9B-0CA7F20C1E02}"/>
    <cellStyle name="Percentuale 2 2 8 2 5" xfId="3772" xr:uid="{C496EC3A-C7EF-44DB-80D8-AA80221370A4}"/>
    <cellStyle name="Percentuale 2 2 8 2 6" xfId="7607" xr:uid="{BFA935BD-CF20-4ABE-B783-5EBAE5625DC5}"/>
    <cellStyle name="Percentuale 2 2 8 3" xfId="387" xr:uid="{6EC28A56-C862-4940-B718-4947154C4DF8}"/>
    <cellStyle name="Percentuale 2 2 8 3 2" xfId="1869" xr:uid="{509F3C96-2119-4452-9CFA-5EB1A2C6FCB3}"/>
    <cellStyle name="Percentuale 2 2 8 3 2 2" xfId="4183" xr:uid="{428A57B7-666B-4BF2-A652-229CCCC089EA}"/>
    <cellStyle name="Percentuale 2 2 8 3 2 3" xfId="6231" xr:uid="{FD1958A2-E371-43B0-9A07-1EC9054130DD}"/>
    <cellStyle name="Percentuale 2 2 8 3 3" xfId="2326" xr:uid="{4E29C3EE-F330-4099-9E2A-0F88507E03FC}"/>
    <cellStyle name="Percentuale 2 2 8 3 3 2" xfId="4640" xr:uid="{3442DB25-FEAD-484D-A295-34D3390D855B}"/>
    <cellStyle name="Percentuale 2 2 8 3 3 3" xfId="6659" xr:uid="{B300D4BF-CE1F-4D27-9480-50B93F637636}"/>
    <cellStyle name="Percentuale 2 2 8 3 4" xfId="2747" xr:uid="{CFCD2A6C-DE51-43A5-8C15-F51824E387D1}"/>
    <cellStyle name="Percentuale 2 2 8 3 4 2" xfId="5061" xr:uid="{F8E7FF40-2F20-4774-AEC5-7E23968C1076}"/>
    <cellStyle name="Percentuale 2 2 8 3 4 3" xfId="7055" xr:uid="{9C63F7AA-8E1D-4A8B-9035-B45BD25EB684}"/>
    <cellStyle name="Percentuale 2 2 8 3 5" xfId="1235" xr:uid="{8D811ED0-0344-4354-9E92-D904DE81B923}"/>
    <cellStyle name="Percentuale 2 2 8 3 6" xfId="3570" xr:uid="{8A5F4D4A-F15E-42F2-8724-9F23B4A600C7}"/>
    <cellStyle name="Percentuale 2 2 8 3 7" xfId="5685" xr:uid="{4C2F0073-4190-48F8-9247-56B04243AA76}"/>
    <cellStyle name="Percentuale 2 2 8 4" xfId="511" xr:uid="{60BC4EB4-7911-458B-BCAF-E56E6B419A58}"/>
    <cellStyle name="Percentuale 2 2 8 4 2" xfId="1970" xr:uid="{123FCE88-48A5-44E2-A6D3-B8C988909BB0}"/>
    <cellStyle name="Percentuale 2 2 8 4 2 2" xfId="4284" xr:uid="{70F6EB37-F9F1-4799-A7EA-CB1FD7F84D90}"/>
    <cellStyle name="Percentuale 2 2 8 4 2 3" xfId="6325" xr:uid="{6526FF6F-20E1-4B92-964C-ACB77286E9CD}"/>
    <cellStyle name="Percentuale 2 2 8 4 3" xfId="2421" xr:uid="{0620C9C5-F0A8-447F-903D-49341FAA4E3E}"/>
    <cellStyle name="Percentuale 2 2 8 4 3 2" xfId="4735" xr:uid="{989CE2E4-F833-47A1-9AA6-B556F2B416D3}"/>
    <cellStyle name="Percentuale 2 2 8 4 3 3" xfId="6745" xr:uid="{BCAA6729-4473-4401-9C98-C7073993084A}"/>
    <cellStyle name="Percentuale 2 2 8 4 4" xfId="2826" xr:uid="{B45DFDEA-72B4-4A87-9AD6-AB44177A851B}"/>
    <cellStyle name="Percentuale 2 2 8 4 4 2" xfId="5140" xr:uid="{846AB164-0487-4B09-AFF6-225ECC243777}"/>
    <cellStyle name="Percentuale 2 2 8 4 4 3" xfId="7134" xr:uid="{0F9511CD-5CA5-46D1-8929-FA577C8AE6BF}"/>
    <cellStyle name="Percentuale 2 2 8 4 5" xfId="1359" xr:uid="{B41713C1-56C4-4C43-BE88-2D51ECE75F62}"/>
    <cellStyle name="Percentuale 2 2 8 4 6" xfId="3675" xr:uid="{1D420DD9-530E-4121-81C5-3F78F2CFDA75}"/>
    <cellStyle name="Percentuale 2 2 8 4 7" xfId="5765" xr:uid="{10AA482E-1E36-4088-9743-D8F1147D5395}"/>
    <cellStyle name="Percentuale 2 2 8 5" xfId="1055" xr:uid="{40F2D802-CF70-43B1-9D1C-9BEDCAAA544E}"/>
    <cellStyle name="Percentuale 2 2 8 5 2" xfId="3415" xr:uid="{7AA6A453-0348-4ADC-84F3-47CF878C512F}"/>
    <cellStyle name="Percentuale 2 2 8 5 3" xfId="5551" xr:uid="{A7E69FF8-1A2D-45AF-A2C7-AFCF96CF0ED4}"/>
    <cellStyle name="Percentuale 2 2 8 6" xfId="1715" xr:uid="{37689BB5-4B83-4D05-BD65-926E33FD478B}"/>
    <cellStyle name="Percentuale 2 2 8 6 2" xfId="4029" xr:uid="{C2F326B1-B1D3-49BA-9F99-650D76F158F4}"/>
    <cellStyle name="Percentuale 2 2 8 6 3" xfId="6083" xr:uid="{849EDAC3-10AE-4417-8FBE-81EFF81128D4}"/>
    <cellStyle name="Percentuale 2 2 8 7" xfId="1734" xr:uid="{06FDD032-B52B-4FE2-B401-2AD9EA85CB5C}"/>
    <cellStyle name="Percentuale 2 2 8 7 2" xfId="4048" xr:uid="{412682A8-D7A8-4DDC-86D6-52F2B48E2992}"/>
    <cellStyle name="Percentuale 2 2 8 7 3" xfId="6100" xr:uid="{1752B7C0-78A4-41B4-A7F7-5C652312F630}"/>
    <cellStyle name="Percentuale 2 2 8 8" xfId="6892" xr:uid="{8AA4D62D-8A0B-4267-9714-1324A1CAD0EA}"/>
    <cellStyle name="Percentuale 2 2 9" xfId="375" xr:uid="{5460BB15-4EEB-4FBE-A826-B42739F4A8D6}"/>
    <cellStyle name="Percentuale 2 2 9 2" xfId="1858" xr:uid="{BD396CDC-AB19-4C7A-9E80-901DC59CB8EA}"/>
    <cellStyle name="Percentuale 2 2 9 2 2" xfId="4172" xr:uid="{BFB4B42C-5643-49A2-9A82-32D96A9E1510}"/>
    <cellStyle name="Percentuale 2 2 9 2 3" xfId="7859" xr:uid="{E801D7A0-382E-4C5A-8D5A-C4F0538DE05E}"/>
    <cellStyle name="Percentuale 2 2 9 3" xfId="2315" xr:uid="{98E6535D-51DC-43EB-AEC0-2A5FF7123FE0}"/>
    <cellStyle name="Percentuale 2 2 9 3 2" xfId="4629" xr:uid="{C7FD58FF-9EB6-4A80-BD5D-790D8B014961}"/>
    <cellStyle name="Percentuale 2 2 9 3 3" xfId="8142" xr:uid="{4A6F5633-F383-4202-8F76-81A635243E23}"/>
    <cellStyle name="Percentuale 2 2 9 4" xfId="1223" xr:uid="{69753BC5-BF0C-4110-8C04-E4CB8CA0259A}"/>
    <cellStyle name="Percentuale 2 2 9 5" xfId="3558" xr:uid="{63F08E5C-E5EE-45DA-8ED9-78C69BA0785C}"/>
    <cellStyle name="Percentuale 2 2 9 6" xfId="3930" xr:uid="{0833A7FC-CAFB-44A3-8FF2-D614FA11DA8B}"/>
    <cellStyle name="Percentuale 2 3" xfId="43" xr:uid="{00000000-0005-0000-0000-000039000000}"/>
    <cellStyle name="Percentuale 2 3 10" xfId="827" xr:uid="{49808B6C-7EAD-4D08-A71C-3F531315A9F7}"/>
    <cellStyle name="Percentuale 2 3 2" xfId="104" xr:uid="{EFC9E19F-15B2-426F-A443-E9B051C31794}"/>
    <cellStyle name="Percentuale 2 3 2 10" xfId="3243" xr:uid="{534705F8-224A-4A60-A31F-FC3B01F8B4ED}"/>
    <cellStyle name="Percentuale 2 3 2 11" xfId="815" xr:uid="{9D188DEE-0CB6-4D63-BB80-B2F359723ACE}"/>
    <cellStyle name="Percentuale 2 3 2 2" xfId="176" xr:uid="{078F6EBA-1855-470F-8F0F-1041788330AD}"/>
    <cellStyle name="Percentuale 2 3 2 2 10" xfId="3632" xr:uid="{6CEE0B84-877D-4ACD-8F00-28E1C5BDDE5D}"/>
    <cellStyle name="Percentuale 2 3 2 2 2" xfId="313" xr:uid="{2D5094A2-B9E8-4B54-8043-A832969A9DE2}"/>
    <cellStyle name="Percentuale 2 3 2 2 2 2" xfId="672" xr:uid="{0FB810D2-F60A-4606-8336-9403FA4CC525}"/>
    <cellStyle name="Percentuale 2 3 2 2 2 2 2" xfId="2130" xr:uid="{3298DA2D-BD9B-4B6A-A246-EB16078F01A8}"/>
    <cellStyle name="Percentuale 2 3 2 2 2 2 2 2" xfId="4444" xr:uid="{220C821D-F63A-4022-AB4C-D48D609DF1F0}"/>
    <cellStyle name="Percentuale 2 3 2 2 2 2 2 3" xfId="8038" xr:uid="{5F9269E3-AB1F-4F46-888C-F5B16C33904C}"/>
    <cellStyle name="Percentuale 2 3 2 2 2 2 3" xfId="2582" xr:uid="{C67212BE-124C-4A4D-80FF-027B3A5C76EC}"/>
    <cellStyle name="Percentuale 2 3 2 2 2 2 3 2" xfId="4896" xr:uid="{DDA44760-1F1A-4A55-856B-5FA520DBE128}"/>
    <cellStyle name="Percentuale 2 3 2 2 2 2 3 3" xfId="8318" xr:uid="{06266E09-A35B-4AC3-99B6-4F5078D84BDB}"/>
    <cellStyle name="Percentuale 2 3 2 2 2 2 4" xfId="1520" xr:uid="{04906A13-1F3A-42FF-B111-66E48303B7D9}"/>
    <cellStyle name="Percentuale 2 3 2 2 2 2 5" xfId="3836" xr:uid="{F9F86546-7965-47F6-9983-B782812765B0}"/>
    <cellStyle name="Percentuale 2 3 2 2 2 2 6" xfId="7667" xr:uid="{E02C7A92-0C1E-43F6-BC6F-502F027A089D}"/>
    <cellStyle name="Percentuale 2 3 2 2 2 3" xfId="744" xr:uid="{29719EF6-EA8F-40F8-96EC-26D347E2F332}"/>
    <cellStyle name="Percentuale 2 3 2 2 2 3 2" xfId="2202" xr:uid="{423D9E21-FE4A-4A5C-A20A-851C0E8681E2}"/>
    <cellStyle name="Percentuale 2 3 2 2 2 3 2 2" xfId="4516" xr:uid="{078A2056-0871-4677-9F74-8764E0EF9B20}"/>
    <cellStyle name="Percentuale 2 3 2 2 2 3 2 3" xfId="6538" xr:uid="{5199915D-F05C-4B96-A745-2BD754A5F175}"/>
    <cellStyle name="Percentuale 2 3 2 2 2 3 3" xfId="2654" xr:uid="{F267EC6E-9902-4C37-8966-58B13BFBED16}"/>
    <cellStyle name="Percentuale 2 3 2 2 2 3 3 2" xfId="4968" xr:uid="{C12632FA-58CA-4524-B26A-9433A7723F2C}"/>
    <cellStyle name="Percentuale 2 3 2 2 2 3 3 3" xfId="6962" xr:uid="{84BECE6E-D734-491F-BBC3-4104301182EA}"/>
    <cellStyle name="Percentuale 2 3 2 2 2 3 4" xfId="3029" xr:uid="{46070B26-976B-49C5-98D6-B8E01A31364A}"/>
    <cellStyle name="Percentuale 2 3 2 2 2 3 4 2" xfId="5343" xr:uid="{3F87EF0E-FBD5-42A6-9981-BD9C40861523}"/>
    <cellStyle name="Percentuale 2 3 2 2 2 3 4 3" xfId="7337" xr:uid="{F868AE70-3795-474D-8433-AD03B1227B72}"/>
    <cellStyle name="Percentuale 2 3 2 2 2 3 5" xfId="1592" xr:uid="{54CE7039-2DCF-4062-9B41-98E871549A07}"/>
    <cellStyle name="Percentuale 2 3 2 2 2 3 6" xfId="3908" xr:uid="{E8830E44-EB1A-40F1-8609-855A9EE4C2D7}"/>
    <cellStyle name="Percentuale 2 3 2 2 2 3 7" xfId="5975" xr:uid="{C918A372-567A-4DA9-B4DA-37C34D4A6820}"/>
    <cellStyle name="Percentuale 2 3 2 2 2 4" xfId="540" xr:uid="{BDBE283F-06B1-4A0F-BF94-1A934B3D3F87}"/>
    <cellStyle name="Percentuale 2 3 2 2 2 4 2" xfId="1999" xr:uid="{ACCCF3D5-F97A-41C3-BD58-4429F720C5E2}"/>
    <cellStyle name="Percentuale 2 3 2 2 2 4 2 2" xfId="4313" xr:uid="{6C4AA915-3DBD-431A-8CDB-4D9E58543343}"/>
    <cellStyle name="Percentuale 2 3 2 2 2 4 2 3" xfId="6354" xr:uid="{67A9BEB3-D193-426D-B3AE-329D73F5B154}"/>
    <cellStyle name="Percentuale 2 3 2 2 2 4 3" xfId="2450" xr:uid="{A00F6707-EC19-4EB6-AF01-C708012390A4}"/>
    <cellStyle name="Percentuale 2 3 2 2 2 4 3 2" xfId="4764" xr:uid="{C4438893-3856-416C-8E82-E4FB89A6A739}"/>
    <cellStyle name="Percentuale 2 3 2 2 2 4 3 3" xfId="6774" xr:uid="{F15418BA-753C-4697-BDDE-BA8E1DB977E7}"/>
    <cellStyle name="Percentuale 2 3 2 2 2 4 4" xfId="2855" xr:uid="{91816F34-C163-416E-86DF-44418956BBD8}"/>
    <cellStyle name="Percentuale 2 3 2 2 2 4 4 2" xfId="5169" xr:uid="{58A749B0-6423-4FB4-820D-06E1FF975AD0}"/>
    <cellStyle name="Percentuale 2 3 2 2 2 4 4 3" xfId="7163" xr:uid="{36244A53-4ABD-4EFB-AEDE-9D5A896284C2}"/>
    <cellStyle name="Percentuale 2 3 2 2 2 4 5" xfId="1388" xr:uid="{3AC92987-F415-49C1-8945-06479B9DD6DD}"/>
    <cellStyle name="Percentuale 2 3 2 2 2 4 6" xfId="3704" xr:uid="{56BC46CF-F5CF-4149-B526-B2AB14E0E78C}"/>
    <cellStyle name="Percentuale 2 3 2 2 2 4 7" xfId="5794" xr:uid="{582DC77A-BFE1-45F2-803B-2E9B1680CC68}"/>
    <cellStyle name="Percentuale 2 3 2 2 2 5" xfId="1803" xr:uid="{8E8722AA-64B4-4091-9F47-6EE8B51A7B8E}"/>
    <cellStyle name="Percentuale 2 3 2 2 2 5 2" xfId="4117" xr:uid="{6CB035B6-C4B1-4A33-B3C0-AA69BE8EC0B9}"/>
    <cellStyle name="Percentuale 2 3 2 2 2 5 3" xfId="6166" xr:uid="{6DE6F0CB-727D-4702-A760-70CA4A667322}"/>
    <cellStyle name="Percentuale 2 3 2 2 2 6" xfId="2260" xr:uid="{9825C77F-898B-49CC-8C89-B355533BE8CB}"/>
    <cellStyle name="Percentuale 2 3 2 2 2 6 2" xfId="4574" xr:uid="{2AA4C74A-F2B1-4B9F-9B9E-58A0CB675B32}"/>
    <cellStyle name="Percentuale 2 3 2 2 2 6 3" xfId="6596" xr:uid="{0AF1176A-8979-4BF8-A517-314781A91A6C}"/>
    <cellStyle name="Percentuale 2 3 2 2 2 7" xfId="1161" xr:uid="{76F39C35-8EDE-48C5-B9EF-C49FEB0AB6CF}"/>
    <cellStyle name="Percentuale 2 3 2 2 2 8" xfId="3503" xr:uid="{7DC89A9B-16AB-4854-AF6D-9226101D6F81}"/>
    <cellStyle name="Percentuale 2 3 2 2 2 9" xfId="5624" xr:uid="{D991A0BD-0A31-4A05-BBA2-325A75913A68}"/>
    <cellStyle name="Percentuale 2 3 2 2 3" xfId="487" xr:uid="{DE9A2A50-7DCD-4588-BFA3-010671B8634F}"/>
    <cellStyle name="Percentuale 2 3 2 2 3 2" xfId="1950" xr:uid="{93BEDB1E-8CE9-42AB-80C6-139B1B6E8844}"/>
    <cellStyle name="Percentuale 2 3 2 2 3 2 2" xfId="4264" xr:uid="{80309C8C-2286-4A06-9D1E-34FD917BE375}"/>
    <cellStyle name="Percentuale 2 3 2 2 3 2 3" xfId="6307" xr:uid="{30CC28A5-D86E-46CD-B188-B3FE855B38D1}"/>
    <cellStyle name="Percentuale 2 3 2 2 3 3" xfId="2403" xr:uid="{B0CCC7F6-DB68-4114-AF9D-AC0E9AC5A791}"/>
    <cellStyle name="Percentuale 2 3 2 2 3 3 2" xfId="4717" xr:uid="{7C5275BE-F001-4B2F-8553-3C6FE5CCBD82}"/>
    <cellStyle name="Percentuale 2 3 2 2 3 3 3" xfId="6730" xr:uid="{C75A4656-142A-4735-A22A-1DA4A76FB254}"/>
    <cellStyle name="Percentuale 2 3 2 2 3 4" xfId="2811" xr:uid="{C8503F4A-97C5-447D-B491-FF7CC252C654}"/>
    <cellStyle name="Percentuale 2 3 2 2 3 4 2" xfId="5125" xr:uid="{F9811B6C-13F1-4ED1-9D84-B0A8D1702FBE}"/>
    <cellStyle name="Percentuale 2 3 2 2 3 4 3" xfId="7119" xr:uid="{17A41822-8341-48AB-907D-C6F647E31934}"/>
    <cellStyle name="Percentuale 2 3 2 2 3 5" xfId="1335" xr:uid="{1F253A51-0775-4750-8278-B2F3AABB53FC}"/>
    <cellStyle name="Percentuale 2 3 2 2 3 6" xfId="3654" xr:uid="{5A42F3F5-F8E3-403F-8432-BD4270624AC1}"/>
    <cellStyle name="Percentuale 2 3 2 2 3 7" xfId="5748" xr:uid="{80B792B2-F1FA-4AF1-8267-153787D2B0FD}"/>
    <cellStyle name="Percentuale 2 3 2 2 4" xfId="602" xr:uid="{89F15CCE-1B87-47EC-BD3F-D83A0158C31D}"/>
    <cellStyle name="Percentuale 2 3 2 2 4 2" xfId="2060" xr:uid="{8758E542-6C5A-4B2D-8C3D-4056F0307F60}"/>
    <cellStyle name="Percentuale 2 3 2 2 4 2 2" xfId="4374" xr:uid="{0F28AD48-15C0-4CB8-B753-16F4AA237792}"/>
    <cellStyle name="Percentuale 2 3 2 2 4 2 3" xfId="6415" xr:uid="{A4D4F63F-898F-48FC-A1C6-51FAEBA74086}"/>
    <cellStyle name="Percentuale 2 3 2 2 4 3" xfId="2512" xr:uid="{A71FDE73-DBBF-480E-A530-8F16D3A97D2B}"/>
    <cellStyle name="Percentuale 2 3 2 2 4 3 2" xfId="4826" xr:uid="{7D50D75D-5F84-49F1-BFA5-D3B32ED2D961}"/>
    <cellStyle name="Percentuale 2 3 2 2 4 3 3" xfId="6836" xr:uid="{773D017D-B175-428A-B898-B318B400DF09}"/>
    <cellStyle name="Percentuale 2 3 2 2 4 4" xfId="2917" xr:uid="{A5AFBC5D-55BD-43AA-BDAE-BF328554C749}"/>
    <cellStyle name="Percentuale 2 3 2 2 4 4 2" xfId="5231" xr:uid="{C3DA6DDA-76EB-49E6-B7E0-7B70AB14A790}"/>
    <cellStyle name="Percentuale 2 3 2 2 4 4 3" xfId="7225" xr:uid="{A75F721F-E056-4940-B91D-0E8A24557D4F}"/>
    <cellStyle name="Percentuale 2 3 2 2 4 5" xfId="1450" xr:uid="{04DF0E36-FAFC-4731-A78A-5E116701CD95}"/>
    <cellStyle name="Percentuale 2 3 2 2 4 6" xfId="3766" xr:uid="{8116A9D7-62AA-4B73-B163-9BD46E2CD15F}"/>
    <cellStyle name="Percentuale 2 3 2 2 4 7" xfId="5856" xr:uid="{96011B17-8EE2-4781-8C00-42E47FB99029}"/>
    <cellStyle name="Percentuale 2 3 2 2 5" xfId="360" xr:uid="{88E16E1E-38D0-4A4F-BA72-49547CF3C97B}"/>
    <cellStyle name="Percentuale 2 3 2 2 5 2" xfId="1847" xr:uid="{64A99620-BC98-48F1-9C4F-9BA7BF4B276D}"/>
    <cellStyle name="Percentuale 2 3 2 2 5 2 2" xfId="4161" xr:uid="{B242EC54-31AE-4710-8D21-8F8BDCDA406B}"/>
    <cellStyle name="Percentuale 2 3 2 2 5 2 3" xfId="6210" xr:uid="{95DC31F7-40A9-44C5-AFCC-B3C491F9730C}"/>
    <cellStyle name="Percentuale 2 3 2 2 5 3" xfId="2302" xr:uid="{926B6BAF-1A15-4145-85B7-9CE1C5DB04FC}"/>
    <cellStyle name="Percentuale 2 3 2 2 5 3 2" xfId="4616" xr:uid="{7924F088-BF8A-4A31-AD68-85F2064529D4}"/>
    <cellStyle name="Percentuale 2 3 2 2 5 3 3" xfId="6638" xr:uid="{E2EF116D-F0C5-48DD-B3AF-90A60392DD0C}"/>
    <cellStyle name="Percentuale 2 3 2 2 5 4" xfId="2732" xr:uid="{851CD7B6-FE83-4501-B456-B2116D59243F}"/>
    <cellStyle name="Percentuale 2 3 2 2 5 4 2" xfId="5046" xr:uid="{6DC7E493-C688-4F54-8760-DE10E07AAC18}"/>
    <cellStyle name="Percentuale 2 3 2 2 5 4 3" xfId="7040" xr:uid="{1FC81827-DDA3-4B57-BFBA-ED5626991240}"/>
    <cellStyle name="Percentuale 2 3 2 2 5 5" xfId="1208" xr:uid="{E170694F-114F-4B9A-BF4A-B6D122317EB4}"/>
    <cellStyle name="Percentuale 2 3 2 2 5 6" xfId="3546" xr:uid="{654F33A8-086C-4B55-86AF-4F022A47C5EE}"/>
    <cellStyle name="Percentuale 2 3 2 2 5 7" xfId="5666" xr:uid="{91F56CDC-0398-4769-BD56-FF891103BD09}"/>
    <cellStyle name="Percentuale 2 3 2 2 6" xfId="1697" xr:uid="{EBB0F903-76F9-4181-8B92-EA5363ADD2E3}"/>
    <cellStyle name="Percentuale 2 3 2 2 6 2" xfId="4011" xr:uid="{9815B9A7-BF11-465E-92F5-CA71D0184B45}"/>
    <cellStyle name="Percentuale 2 3 2 2 6 3" xfId="6066" xr:uid="{C541D0BA-BDE5-4C9C-8C45-323B860BC930}"/>
    <cellStyle name="Percentuale 2 3 2 2 7" xfId="1619" xr:uid="{AF65A5B5-BD52-47BA-B290-F79B7B5552A9}"/>
    <cellStyle name="Percentuale 2 3 2 2 7 2" xfId="3933" xr:uid="{3BE9EC7B-11B9-4AC4-8D87-C2EED670D4B4}"/>
    <cellStyle name="Percentuale 2 3 2 2 7 3" xfId="5996" xr:uid="{85145833-1467-43F6-9AED-977D6DD95E82}"/>
    <cellStyle name="Percentuale 2 3 2 2 8" xfId="1024" xr:uid="{B5FE7ACC-DD63-49FC-9071-23F9F8756070}"/>
    <cellStyle name="Percentuale 2 3 2 2 9" xfId="3390" xr:uid="{33C55538-9100-4BBF-A5C6-8EC05B225889}"/>
    <cellStyle name="Percentuale 2 3 2 3" xfId="244" xr:uid="{F3299E91-5671-4F00-8ABC-2EB7B1709428}"/>
    <cellStyle name="Percentuale 2 3 2 3 2" xfId="627" xr:uid="{F1D2F217-7E48-4ACF-B4F3-02805213069F}"/>
    <cellStyle name="Percentuale 2 3 2 3 2 2" xfId="2085" xr:uid="{ED3EFF2B-7D03-4CCC-A4DC-C407ED788112}"/>
    <cellStyle name="Percentuale 2 3 2 3 2 2 2" xfId="4399" xr:uid="{304B57CD-DE2B-4B82-A3C0-157D2246FDD9}"/>
    <cellStyle name="Percentuale 2 3 2 3 2 2 3" xfId="7996" xr:uid="{1CFE7F70-3C08-4D0B-B82E-AAD6EEBCE1F2}"/>
    <cellStyle name="Percentuale 2 3 2 3 2 3" xfId="2537" xr:uid="{74FD1523-D822-4DBC-8678-228E0EFA2A52}"/>
    <cellStyle name="Percentuale 2 3 2 3 2 3 2" xfId="4851" xr:uid="{10AF70B2-F6F9-4F0B-B715-2D954062E6F6}"/>
    <cellStyle name="Percentuale 2 3 2 3 2 3 3" xfId="8276" xr:uid="{3A31DD20-3E1E-447A-A6FC-AC2A9A21B4BA}"/>
    <cellStyle name="Percentuale 2 3 2 3 2 4" xfId="1475" xr:uid="{E838CBA5-8F82-4073-A7B7-90972B1002B1}"/>
    <cellStyle name="Percentuale 2 3 2 3 2 5" xfId="3791" xr:uid="{61408C16-EB1C-4DE8-A1B2-29D7D3B5D682}"/>
    <cellStyle name="Percentuale 2 3 2 3 2 6" xfId="7625" xr:uid="{E39C6081-B86B-4415-82CC-B2F65871D1A9}"/>
    <cellStyle name="Percentuale 2 3 2 3 3" xfId="702" xr:uid="{D254B887-4647-4F13-B9BA-8D9C2B3EFF7C}"/>
    <cellStyle name="Percentuale 2 3 2 3 3 2" xfId="2160" xr:uid="{824D4EB2-7548-4D0B-9219-6A76B4B0F4D1}"/>
    <cellStyle name="Percentuale 2 3 2 3 3 2 2" xfId="4474" xr:uid="{4B048395-3440-433E-9FEA-AB59E741A65A}"/>
    <cellStyle name="Percentuale 2 3 2 3 3 2 3" xfId="6496" xr:uid="{74B539FD-616C-4803-B5D0-55704C0D56BB}"/>
    <cellStyle name="Percentuale 2 3 2 3 3 3" xfId="2612" xr:uid="{F20E9E9E-CD60-4165-8214-A277C01E431D}"/>
    <cellStyle name="Percentuale 2 3 2 3 3 3 2" xfId="4926" xr:uid="{504F330E-711C-4A07-9959-66A8E089046B}"/>
    <cellStyle name="Percentuale 2 3 2 3 3 3 3" xfId="6920" xr:uid="{0EFF8379-7F86-4E75-A100-18A897744F2E}"/>
    <cellStyle name="Percentuale 2 3 2 3 3 4" xfId="2987" xr:uid="{2197B2BF-5E53-4117-825B-A1CD0C6322D9}"/>
    <cellStyle name="Percentuale 2 3 2 3 3 4 2" xfId="5301" xr:uid="{C1F14227-F7DF-48FD-95DA-B442D4668748}"/>
    <cellStyle name="Percentuale 2 3 2 3 3 4 3" xfId="7295" xr:uid="{09AD5D26-78C8-41A9-9003-6B10359D186F}"/>
    <cellStyle name="Percentuale 2 3 2 3 3 5" xfId="1550" xr:uid="{BBDB0015-B519-4070-91D4-402E222F4F0F}"/>
    <cellStyle name="Percentuale 2 3 2 3 3 6" xfId="3866" xr:uid="{FBCF79DA-E14C-4B16-8809-90F0506DA24C}"/>
    <cellStyle name="Percentuale 2 3 2 3 3 7" xfId="5933" xr:uid="{C35E888C-9B9E-4400-A43A-B503B5F2A692}"/>
    <cellStyle name="Percentuale 2 3 2 3 4" xfId="518" xr:uid="{B83D54C9-CFE2-49CB-9BC0-282B6293273B}"/>
    <cellStyle name="Percentuale 2 3 2 3 4 2" xfId="1977" xr:uid="{A0C4680F-85A7-46D2-87E3-E7FEC828C375}"/>
    <cellStyle name="Percentuale 2 3 2 3 4 2 2" xfId="4291" xr:uid="{C778558F-2F7E-4A1E-ADB5-2C740F6CBE46}"/>
    <cellStyle name="Percentuale 2 3 2 3 4 2 3" xfId="6332" xr:uid="{56921297-5DA1-46AF-A7CF-0FDA96708F60}"/>
    <cellStyle name="Percentuale 2 3 2 3 4 3" xfId="2428" xr:uid="{905D0EF9-ACE6-4539-8246-538C5B95006C}"/>
    <cellStyle name="Percentuale 2 3 2 3 4 3 2" xfId="4742" xr:uid="{7A95866B-6C12-472F-B968-2C0DA02C48AC}"/>
    <cellStyle name="Percentuale 2 3 2 3 4 3 3" xfId="6752" xr:uid="{67BEAF5C-E359-4F57-AF3D-78A57F29D701}"/>
    <cellStyle name="Percentuale 2 3 2 3 4 4" xfId="2833" xr:uid="{443C4674-7C5E-4693-94F8-3879EA8723CD}"/>
    <cellStyle name="Percentuale 2 3 2 3 4 4 2" xfId="5147" xr:uid="{0476FFCE-32D0-465C-B0D3-1674F4638919}"/>
    <cellStyle name="Percentuale 2 3 2 3 4 4 3" xfId="7141" xr:uid="{DDF4BD38-3E2C-4EF9-B3D0-79C91CCCAE01}"/>
    <cellStyle name="Percentuale 2 3 2 3 4 5" xfId="1366" xr:uid="{3E0AD88D-699D-4F59-AB09-1500B66565B4}"/>
    <cellStyle name="Percentuale 2 3 2 3 4 6" xfId="3682" xr:uid="{1932E52B-FC4F-4842-8C1F-49EDDCE13C7E}"/>
    <cellStyle name="Percentuale 2 3 2 3 4 7" xfId="5772" xr:uid="{4EAD3555-A149-46D7-9999-093C76AA9EFA}"/>
    <cellStyle name="Percentuale 2 3 2 3 5" xfId="1744" xr:uid="{E3146711-3A4A-4C14-8210-D6754550ADB7}"/>
    <cellStyle name="Percentuale 2 3 2 3 5 2" xfId="4058" xr:uid="{B0C98961-954A-478A-AEBA-94F76D38D5D5}"/>
    <cellStyle name="Percentuale 2 3 2 3 5 3" xfId="6110" xr:uid="{ABCFA286-0485-42D8-8EDC-30E49333A605}"/>
    <cellStyle name="Percentuale 2 3 2 3 6" xfId="1711" xr:uid="{F5A56942-6B04-4686-885B-306D8CB0DFF6}"/>
    <cellStyle name="Percentuale 2 3 2 3 6 2" xfId="4025" xr:uid="{9FBFE0A2-CA34-4F5F-827F-1347C11AF0FF}"/>
    <cellStyle name="Percentuale 2 3 2 3 6 3" xfId="6079" xr:uid="{B481A26C-59C0-4CE2-AE3D-6F98891265D3}"/>
    <cellStyle name="Percentuale 2 3 2 3 7" xfId="1092" xr:uid="{4FBA5F02-6BB6-4AEE-8D25-E5AB963CE649}"/>
    <cellStyle name="Percentuale 2 3 2 3 8" xfId="3447" xr:uid="{59DA0C5E-DF48-491A-8FA7-E652A8B6C46C}"/>
    <cellStyle name="Percentuale 2 3 2 3 9" xfId="5573" xr:uid="{2A0103B6-D5A9-4B1C-B471-F3F883EB9EED}"/>
    <cellStyle name="Percentuale 2 3 2 4" xfId="416" xr:uid="{F6143CD5-1F11-4268-83DD-924A0114BE3B}"/>
    <cellStyle name="Percentuale 2 3 2 4 2" xfId="1892" xr:uid="{34753271-6CEB-4CB6-B4C3-90A2DE071115}"/>
    <cellStyle name="Percentuale 2 3 2 4 2 2" xfId="4206" xr:uid="{87A64065-CE71-4ECC-A5E4-DE214F86981C}"/>
    <cellStyle name="Percentuale 2 3 2 4 2 3" xfId="6252" xr:uid="{C684B441-D246-423E-BE15-20A4225B1832}"/>
    <cellStyle name="Percentuale 2 3 2 4 3" xfId="2349" xr:uid="{9225DC42-74F8-40A8-A778-EF8D545FC18C}"/>
    <cellStyle name="Percentuale 2 3 2 4 3 2" xfId="4663" xr:uid="{C96C888E-40A7-4D8D-9928-96FEB91C331F}"/>
    <cellStyle name="Percentuale 2 3 2 4 3 3" xfId="6678" xr:uid="{BDF345CF-8FBB-4898-BF96-01262AF31AAA}"/>
    <cellStyle name="Percentuale 2 3 2 4 4" xfId="2763" xr:uid="{FCA56677-1320-4D48-8A65-DDD10B1ACF39}"/>
    <cellStyle name="Percentuale 2 3 2 4 4 2" xfId="5077" xr:uid="{04242A22-75BF-4A10-AB3B-32BB14BF2CC4}"/>
    <cellStyle name="Percentuale 2 3 2 4 4 3" xfId="7071" xr:uid="{FCA040A9-CC5A-4C36-A470-D92E1C4525D4}"/>
    <cellStyle name="Percentuale 2 3 2 4 5" xfId="1264" xr:uid="{72A762B5-9F89-4FF6-998D-09CFBC2510A2}"/>
    <cellStyle name="Percentuale 2 3 2 4 6" xfId="3592" xr:uid="{1873721C-AA12-42C2-B5CE-7188AAAD7ADE}"/>
    <cellStyle name="Percentuale 2 3 2 4 7" xfId="5699" xr:uid="{2A4883BE-6B6A-4717-8971-AA830E0D3AA6}"/>
    <cellStyle name="Percentuale 2 3 2 5" xfId="561" xr:uid="{47C3B72A-3655-47D4-A1AA-B0DCB4C4AF9C}"/>
    <cellStyle name="Percentuale 2 3 2 5 2" xfId="2019" xr:uid="{B711EB17-2271-48D8-A162-23364134007F}"/>
    <cellStyle name="Percentuale 2 3 2 5 2 2" xfId="4333" xr:uid="{12C516AB-CD25-482D-9990-71E4EFCC0EF4}"/>
    <cellStyle name="Percentuale 2 3 2 5 2 3" xfId="6374" xr:uid="{F7141B52-F143-4631-A014-F4F4F502A29D}"/>
    <cellStyle name="Percentuale 2 3 2 5 3" xfId="2471" xr:uid="{74FA8E0E-D760-420F-A659-D2CC88132A7F}"/>
    <cellStyle name="Percentuale 2 3 2 5 3 2" xfId="4785" xr:uid="{4AC1EBFA-41DC-4480-85D8-11E0D8E6EC20}"/>
    <cellStyle name="Percentuale 2 3 2 5 3 3" xfId="6795" xr:uid="{E86EED59-D1DC-4D45-9DE8-B91610697D47}"/>
    <cellStyle name="Percentuale 2 3 2 5 4" xfId="2876" xr:uid="{261FA8D7-6D45-4B55-9D94-FF83A1E95D61}"/>
    <cellStyle name="Percentuale 2 3 2 5 4 2" xfId="5190" xr:uid="{67DC7393-4154-42FD-9E69-9CF1B089866C}"/>
    <cellStyle name="Percentuale 2 3 2 5 4 3" xfId="7184" xr:uid="{2F1C813C-605A-4545-BD29-509CE8A7E334}"/>
    <cellStyle name="Percentuale 2 3 2 5 5" xfId="1409" xr:uid="{34F64B12-DE94-41EE-811B-20C0D02D8542}"/>
    <cellStyle name="Percentuale 2 3 2 5 6" xfId="3725" xr:uid="{632C4794-8C15-42DF-86D0-C6EC3953AD38}"/>
    <cellStyle name="Percentuale 2 3 2 5 7" xfId="5815" xr:uid="{F012133A-2BBB-4A0B-916A-F52777515B44}"/>
    <cellStyle name="Percentuale 2 3 2 6" xfId="954" xr:uid="{16A9BC97-58F8-467C-BAE0-4D19704166BD}"/>
    <cellStyle name="Percentuale 2 3 2 6 2" xfId="3332" xr:uid="{682A4327-36EC-443D-84A6-3D873A74915D}"/>
    <cellStyle name="Percentuale 2 3 2 6 3" xfId="3409" xr:uid="{A7C9D1F3-1A24-4F53-A9B5-78DA6D9E4A02}"/>
    <cellStyle name="Percentuale 2 3 2 6 4" xfId="6850" xr:uid="{693F79DB-CBE6-415B-8F17-DA5A0B650F4B}"/>
    <cellStyle name="Percentuale 2 3 2 7" xfId="1644" xr:uid="{AA3411A6-7E17-486C-8310-C4ACDE101270}"/>
    <cellStyle name="Percentuale 2 3 2 7 2" xfId="3958" xr:uid="{204C1A12-54CA-4C6E-8555-8DEF61405EA9}"/>
    <cellStyle name="Percentuale 2 3 2 7 3" xfId="7738" xr:uid="{3FF11DBB-27EB-4AD5-ABD2-78C094C38652}"/>
    <cellStyle name="Percentuale 2 3 2 8" xfId="1638" xr:uid="{F0289CB8-BB7B-4D74-91A9-555765D3A3E6}"/>
    <cellStyle name="Percentuale 2 3 2 8 2" xfId="3952" xr:uid="{5E7E4D8F-CE9F-4062-A108-9DC85832713E}"/>
    <cellStyle name="Percentuale 2 3 2 8 3" xfId="6012" xr:uid="{602E5811-7823-4059-BBA4-F56B2B752FF6}"/>
    <cellStyle name="Percentuale 2 3 2 9" xfId="854" xr:uid="{15381D7E-1843-4E79-A807-B18C00D9975D}"/>
    <cellStyle name="Percentuale 2 3 3" xfId="108" xr:uid="{CE2FB672-E1BB-480E-B26A-9F479A11E231}"/>
    <cellStyle name="Percentuale 2 3 3 10" xfId="858" xr:uid="{7D249F01-7C09-4CF8-8A67-E55989E77380}"/>
    <cellStyle name="Percentuale 2 3 3 11" xfId="3247" xr:uid="{3E41A313-35BC-475E-9AC5-0508F9419FB3}"/>
    <cellStyle name="Percentuale 2 3 3 12" xfId="6420" xr:uid="{8B06A11D-48A5-4DE5-B35A-74F17C3AF872}"/>
    <cellStyle name="Percentuale 2 3 3 2" xfId="180" xr:uid="{3FB20404-4ACE-4AD9-8141-DC6FB744BC47}"/>
    <cellStyle name="Percentuale 2 3 3 2 2" xfId="317" xr:uid="{6211A9D9-C999-4F2B-9862-C7CCB9A6B4D2}"/>
    <cellStyle name="Percentuale 2 3 3 2 2 2" xfId="676" xr:uid="{0D1BD5EE-8B99-420F-8068-9BB1E86FCAEE}"/>
    <cellStyle name="Percentuale 2 3 3 2 2 2 2" xfId="2134" xr:uid="{743E4347-0EC6-4023-BFD7-2BA7385C5CA3}"/>
    <cellStyle name="Percentuale 2 3 3 2 2 2 2 2" xfId="4448" xr:uid="{0F91FC1A-513F-46D1-92B0-BDCAB2FC6363}"/>
    <cellStyle name="Percentuale 2 3 3 2 2 2 2 3" xfId="8042" xr:uid="{BE82526A-2535-4365-824A-A8FBC11CEF5C}"/>
    <cellStyle name="Percentuale 2 3 3 2 2 2 3" xfId="2586" xr:uid="{E759E9CD-C392-44F9-ABAC-FC20989C8B87}"/>
    <cellStyle name="Percentuale 2 3 3 2 2 2 3 2" xfId="4900" xr:uid="{941C96A9-DBB8-4077-BC50-78CDE618E96A}"/>
    <cellStyle name="Percentuale 2 3 3 2 2 2 3 3" xfId="8322" xr:uid="{09BF0925-E2D4-47E7-B5CD-D3A70FCDC782}"/>
    <cellStyle name="Percentuale 2 3 3 2 2 2 4" xfId="1524" xr:uid="{8310A9AA-8F64-4A19-89D1-389A8A3C2094}"/>
    <cellStyle name="Percentuale 2 3 3 2 2 2 5" xfId="3840" xr:uid="{1BC67B34-5C7B-42B7-AC41-7339F9AF388F}"/>
    <cellStyle name="Percentuale 2 3 3 2 2 2 6" xfId="7671" xr:uid="{592131CE-A5B1-44EF-BB84-4B9B26AFCC45}"/>
    <cellStyle name="Percentuale 2 3 3 2 2 3" xfId="748" xr:uid="{FD627EDA-CB91-4464-AC0C-807E3DDE39DE}"/>
    <cellStyle name="Percentuale 2 3 3 2 2 3 2" xfId="2206" xr:uid="{1B2C9C69-C6FF-4692-90A7-20D23DEA3764}"/>
    <cellStyle name="Percentuale 2 3 3 2 2 3 2 2" xfId="4520" xr:uid="{0F5F9BD9-AB69-4417-BCB2-FD8433D3DFEA}"/>
    <cellStyle name="Percentuale 2 3 3 2 2 3 2 3" xfId="6542" xr:uid="{8A233ECE-2D60-4A0A-B992-DFE487F0E357}"/>
    <cellStyle name="Percentuale 2 3 3 2 2 3 3" xfId="2658" xr:uid="{059D87DF-D790-4232-B53A-13DEBDD34F88}"/>
    <cellStyle name="Percentuale 2 3 3 2 2 3 3 2" xfId="4972" xr:uid="{C4BC5F57-1D6D-4582-81A8-00412B82C973}"/>
    <cellStyle name="Percentuale 2 3 3 2 2 3 3 3" xfId="6966" xr:uid="{4CA8C634-9324-4045-9FAF-5582CC31295A}"/>
    <cellStyle name="Percentuale 2 3 3 2 2 3 4" xfId="3033" xr:uid="{709D5EA4-E1AE-400B-9161-A85DA7149CB1}"/>
    <cellStyle name="Percentuale 2 3 3 2 2 3 4 2" xfId="5347" xr:uid="{9D73064B-AF7D-41E3-922A-718745922CFC}"/>
    <cellStyle name="Percentuale 2 3 3 2 2 3 4 3" xfId="7341" xr:uid="{E48D7461-A9B5-4AAE-B2C4-4EEAE54BBC50}"/>
    <cellStyle name="Percentuale 2 3 3 2 2 3 5" xfId="1596" xr:uid="{1E56D72C-61AB-48F8-B9D2-6449CD95FBA5}"/>
    <cellStyle name="Percentuale 2 3 3 2 2 3 6" xfId="3912" xr:uid="{C5FA0302-B189-4750-9F32-E6E36F947160}"/>
    <cellStyle name="Percentuale 2 3 3 2 2 3 7" xfId="5979" xr:uid="{F1E4B7CB-DB9F-4B6E-A768-9A63F006A06C}"/>
    <cellStyle name="Percentuale 2 3 3 2 2 4" xfId="542" xr:uid="{849F4104-D948-4C4D-A2C6-399B83671AF3}"/>
    <cellStyle name="Percentuale 2 3 3 2 2 4 2" xfId="2001" xr:uid="{F79E2E7C-3297-42A5-AFE4-BB58A4CEFEDB}"/>
    <cellStyle name="Percentuale 2 3 3 2 2 4 2 2" xfId="4315" xr:uid="{0F398E87-F698-4CFF-B79B-CC52EA8B49D6}"/>
    <cellStyle name="Percentuale 2 3 3 2 2 4 2 3" xfId="6356" xr:uid="{741D4D1B-D5ED-4B17-8EDB-0F1E88C70215}"/>
    <cellStyle name="Percentuale 2 3 3 2 2 4 3" xfId="2452" xr:uid="{FA1DA7EF-36A6-4B92-8447-26B884042F8A}"/>
    <cellStyle name="Percentuale 2 3 3 2 2 4 3 2" xfId="4766" xr:uid="{46AC62D5-B2B0-45FE-B21B-68574A378498}"/>
    <cellStyle name="Percentuale 2 3 3 2 2 4 3 3" xfId="6776" xr:uid="{96DD5CF4-55EC-428D-9BD3-0080DC7B5B33}"/>
    <cellStyle name="Percentuale 2 3 3 2 2 4 4" xfId="2857" xr:uid="{FF64C7D2-5073-405C-B6E1-68B296183B77}"/>
    <cellStyle name="Percentuale 2 3 3 2 2 4 4 2" xfId="5171" xr:uid="{82530187-B9FD-43A9-B22E-C3B199C0CE57}"/>
    <cellStyle name="Percentuale 2 3 3 2 2 4 4 3" xfId="7165" xr:uid="{25162355-7D0D-4C59-9856-4A4C8924ABD7}"/>
    <cellStyle name="Percentuale 2 3 3 2 2 4 5" xfId="1390" xr:uid="{FD9D6AA6-3731-4F02-9378-02BEDAE5EF2F}"/>
    <cellStyle name="Percentuale 2 3 3 2 2 4 6" xfId="3706" xr:uid="{47AE3E4F-8E29-487F-8B40-721844B6BE4A}"/>
    <cellStyle name="Percentuale 2 3 3 2 2 4 7" xfId="5796" xr:uid="{09812B95-05E6-4E2F-A191-25519B2577FD}"/>
    <cellStyle name="Percentuale 2 3 3 2 2 5" xfId="1807" xr:uid="{5B811AE2-4423-4150-B904-748358F551E9}"/>
    <cellStyle name="Percentuale 2 3 3 2 2 5 2" xfId="4121" xr:uid="{C9F0DDC2-817F-4DFF-9812-96C93E012423}"/>
    <cellStyle name="Percentuale 2 3 3 2 2 5 3" xfId="6170" xr:uid="{349DDE26-C375-40FF-A90A-818AD1DD72BF}"/>
    <cellStyle name="Percentuale 2 3 3 2 2 6" xfId="2264" xr:uid="{F40D0ED5-827E-4857-96C0-7697E650239C}"/>
    <cellStyle name="Percentuale 2 3 3 2 2 6 2" xfId="4578" xr:uid="{B979A0EA-12D5-45E0-BC0A-2D822E3DB60F}"/>
    <cellStyle name="Percentuale 2 3 3 2 2 6 3" xfId="6600" xr:uid="{B899FB1C-D8A4-4D93-9758-A57C1560047E}"/>
    <cellStyle name="Percentuale 2 3 3 2 2 7" xfId="1165" xr:uid="{B8FEC0AE-B4DC-446D-9AF4-1DC902586BB1}"/>
    <cellStyle name="Percentuale 2 3 3 2 2 8" xfId="3507" xr:uid="{26B0F654-42A2-4FB5-A44B-CFA5A314F884}"/>
    <cellStyle name="Percentuale 2 3 3 2 2 9" xfId="5628" xr:uid="{7F228BA5-C9DC-44A1-89B1-79C262DB5149}"/>
    <cellStyle name="Percentuale 2 3 3 2 3" xfId="491" xr:uid="{606CB832-FF8E-4D2A-870F-F86C489C0312}"/>
    <cellStyle name="Percentuale 2 3 3 2 3 2" xfId="1954" xr:uid="{A354A6C7-69DB-414F-A955-1FCD8CC994EE}"/>
    <cellStyle name="Percentuale 2 3 3 2 3 2 2" xfId="4268" xr:uid="{4A45E097-785A-437F-A9D2-9BEBC660A034}"/>
    <cellStyle name="Percentuale 2 3 3 2 3 2 3" xfId="7926" xr:uid="{C1304A43-7385-45F3-82C0-980CEAB49EBA}"/>
    <cellStyle name="Percentuale 2 3 3 2 3 3" xfId="2407" xr:uid="{B394E4CD-743A-4D2B-849F-4BD6416D3119}"/>
    <cellStyle name="Percentuale 2 3 3 2 3 3 2" xfId="4721" xr:uid="{423FF6E2-F50F-4328-ADEC-6FFE23B95BA6}"/>
    <cellStyle name="Percentuale 2 3 3 2 3 3 3" xfId="8207" xr:uid="{C23D771C-3DC0-483F-B5E5-F54AFA6D48D8}"/>
    <cellStyle name="Percentuale 2 3 3 2 3 4" xfId="1339" xr:uid="{184CB05D-6F38-4947-85F3-45F2AE57A478}"/>
    <cellStyle name="Percentuale 2 3 3 2 3 5" xfId="3658" xr:uid="{DD6D3CE1-1F5B-47E2-9B64-B633A5D18B98}"/>
    <cellStyle name="Percentuale 2 3 3 2 3 6" xfId="7557" xr:uid="{AAFC1DB4-985F-4149-A399-6673B6DC29F9}"/>
    <cellStyle name="Percentuale 2 3 3 2 4" xfId="666" xr:uid="{F57258A9-DE48-4553-9C07-BC558BE5A882}"/>
    <cellStyle name="Percentuale 2 3 3 2 4 2" xfId="2124" xr:uid="{EEA89618-A4D7-48A2-90E3-BFEEF13DEFAB}"/>
    <cellStyle name="Percentuale 2 3 3 2 4 2 2" xfId="4438" xr:uid="{3DCDFA0D-1345-4539-9CEF-28DA65E735E3}"/>
    <cellStyle name="Percentuale 2 3 3 2 4 2 3" xfId="6466" xr:uid="{86AD16EE-0401-4B91-938F-2F24B1D9CCF2}"/>
    <cellStyle name="Percentuale 2 3 3 2 4 3" xfId="2576" xr:uid="{B9159591-8FB2-4512-B485-8032BBDD2AD3}"/>
    <cellStyle name="Percentuale 2 3 3 2 4 3 2" xfId="4890" xr:uid="{711B2D8B-D18F-48F1-B381-51DC24D579AF}"/>
    <cellStyle name="Percentuale 2 3 3 2 4 3 3" xfId="6888" xr:uid="{5028B75D-8372-4CCD-88BA-413744682363}"/>
    <cellStyle name="Percentuale 2 3 3 2 4 4" xfId="2962" xr:uid="{6FEAC1F8-3FFD-422E-BEE3-E75B12F85CCA}"/>
    <cellStyle name="Percentuale 2 3 3 2 4 4 2" xfId="5276" xr:uid="{27F4326E-7023-4180-8067-36C713272D3C}"/>
    <cellStyle name="Percentuale 2 3 3 2 4 4 3" xfId="7270" xr:uid="{56F27370-A0F3-4F21-B193-8C20EAF676B7}"/>
    <cellStyle name="Percentuale 2 3 3 2 4 5" xfId="1514" xr:uid="{3C5345E1-2377-42B1-850D-94FD49A58AD7}"/>
    <cellStyle name="Percentuale 2 3 3 2 4 6" xfId="3830" xr:uid="{0DE7F534-9DBA-4B09-9013-3891AE7FCDBF}"/>
    <cellStyle name="Percentuale 2 3 3 2 4 7" xfId="5905" xr:uid="{8B5C135F-06A1-4CF2-96C2-3278FE892C74}"/>
    <cellStyle name="Percentuale 2 3 3 2 5" xfId="899" xr:uid="{8F380DE2-7142-4502-8242-6116DB7B967E}"/>
    <cellStyle name="Percentuale 2 3 3 2 5 2" xfId="3282" xr:uid="{F370A378-3C37-4777-B44A-956C98B253CD}"/>
    <cellStyle name="Percentuale 2 3 3 2 5 3" xfId="3258" xr:uid="{CA43FC19-813F-45BA-B951-D7DE3E74321F}"/>
    <cellStyle name="Percentuale 2 3 3 2 6" xfId="1028" xr:uid="{FC127426-2737-4994-A65D-326E6E52287A}"/>
    <cellStyle name="Percentuale 2 3 3 2 7" xfId="3394" xr:uid="{F18AE830-4831-40A5-AC0F-D2724B8D5C67}"/>
    <cellStyle name="Percentuale 2 3 3 2 8" xfId="772" xr:uid="{012F3D69-24E2-4824-8FF8-7C2455D1C008}"/>
    <cellStyle name="Percentuale 2 3 3 3" xfId="248" xr:uid="{FBB06A4F-FDAD-4564-A3EE-FF6427365B7D}"/>
    <cellStyle name="Percentuale 2 3 3 3 2" xfId="630" xr:uid="{4E3432D3-F343-49CA-9485-11CBFBFB7222}"/>
    <cellStyle name="Percentuale 2 3 3 3 2 2" xfId="2088" xr:uid="{9DDB3FE2-649D-4193-8969-3D29D618E845}"/>
    <cellStyle name="Percentuale 2 3 3 3 2 2 2" xfId="4402" xr:uid="{43F705B7-0FB7-4C82-AFC2-FB5E739A4115}"/>
    <cellStyle name="Percentuale 2 3 3 3 2 2 3" xfId="7999" xr:uid="{88D8FB64-B79E-4134-A1C4-4F18BFF7020B}"/>
    <cellStyle name="Percentuale 2 3 3 3 2 3" xfId="2540" xr:uid="{5908E4B9-807B-4285-8ED3-C249A1D785AE}"/>
    <cellStyle name="Percentuale 2 3 3 3 2 3 2" xfId="4854" xr:uid="{7B5F218B-ACC4-4CAE-A05A-59369B7C048C}"/>
    <cellStyle name="Percentuale 2 3 3 3 2 3 3" xfId="8279" xr:uid="{9398299C-AF3A-4C66-9AF3-F9BBA11B0D61}"/>
    <cellStyle name="Percentuale 2 3 3 3 2 4" xfId="1478" xr:uid="{CA2D70C0-93BE-43D1-8B4A-3AC8D005DFBF}"/>
    <cellStyle name="Percentuale 2 3 3 3 2 5" xfId="3794" xr:uid="{0E1BF5F3-BCE2-44C0-A60D-31FBEA57FF33}"/>
    <cellStyle name="Percentuale 2 3 3 3 2 6" xfId="7628" xr:uid="{1AE8061F-F26F-480F-A185-B370659F48F7}"/>
    <cellStyle name="Percentuale 2 3 3 3 3" xfId="706" xr:uid="{19FC22D2-53DD-494E-B985-66CD5FF942E0}"/>
    <cellStyle name="Percentuale 2 3 3 3 3 2" xfId="2164" xr:uid="{FCD3A936-A219-4833-B611-B34F6537B2AF}"/>
    <cellStyle name="Percentuale 2 3 3 3 3 2 2" xfId="4478" xr:uid="{6754A006-98A1-47BA-BA91-CF28F9EB945D}"/>
    <cellStyle name="Percentuale 2 3 3 3 3 2 3" xfId="6500" xr:uid="{4206D6C0-AA3E-4AEF-8224-69E35673DB30}"/>
    <cellStyle name="Percentuale 2 3 3 3 3 3" xfId="2616" xr:uid="{CBC0B098-002D-4CAB-B985-8F9FFD64193F}"/>
    <cellStyle name="Percentuale 2 3 3 3 3 3 2" xfId="4930" xr:uid="{F8AB8EF2-7EF3-4113-93D7-E2880D131CA5}"/>
    <cellStyle name="Percentuale 2 3 3 3 3 3 3" xfId="6924" xr:uid="{6B5B111D-4C7F-484E-9D3D-B849401D6048}"/>
    <cellStyle name="Percentuale 2 3 3 3 3 4" xfId="2991" xr:uid="{6DE72A1A-379A-42D3-9B9D-7AD046C65C21}"/>
    <cellStyle name="Percentuale 2 3 3 3 3 4 2" xfId="5305" xr:uid="{6B249581-9376-4E20-A262-8111400C717C}"/>
    <cellStyle name="Percentuale 2 3 3 3 3 4 3" xfId="7299" xr:uid="{75BDBFD6-F146-4A5E-828F-F0AF6C5B9A58}"/>
    <cellStyle name="Percentuale 2 3 3 3 3 5" xfId="1554" xr:uid="{64AC1934-61D3-44A5-90D7-55D0EF1E3E00}"/>
    <cellStyle name="Percentuale 2 3 3 3 3 6" xfId="3870" xr:uid="{9C5F35CE-1B90-4DF6-8F44-F02C06307A3E}"/>
    <cellStyle name="Percentuale 2 3 3 3 3 7" xfId="5937" xr:uid="{9F4E6569-18E1-497F-B630-CC68AE7C8817}"/>
    <cellStyle name="Percentuale 2 3 3 3 4" xfId="519" xr:uid="{2A634BBF-9A69-4699-8E39-FAD2789945B0}"/>
    <cellStyle name="Percentuale 2 3 3 3 4 2" xfId="1978" xr:uid="{F0D8B675-953D-46E2-BA50-1849527CD7CF}"/>
    <cellStyle name="Percentuale 2 3 3 3 4 2 2" xfId="4292" xr:uid="{2CD45E30-32AB-45F5-9074-7C1B0D5CC43B}"/>
    <cellStyle name="Percentuale 2 3 3 3 4 2 3" xfId="6333" xr:uid="{4B57D65B-FD5B-45F8-9EEC-49FD62005A0E}"/>
    <cellStyle name="Percentuale 2 3 3 3 4 3" xfId="2429" xr:uid="{658ECC51-58F0-48D3-9DE2-94DEEC4FB80F}"/>
    <cellStyle name="Percentuale 2 3 3 3 4 3 2" xfId="4743" xr:uid="{70C181FA-23B2-4D4D-9A25-5692142FF15B}"/>
    <cellStyle name="Percentuale 2 3 3 3 4 3 3" xfId="6753" xr:uid="{6E68D382-61BC-4F16-B289-749D06724967}"/>
    <cellStyle name="Percentuale 2 3 3 3 4 4" xfId="2834" xr:uid="{30C9F757-3FE7-45F7-AA6B-E54C0532F3DC}"/>
    <cellStyle name="Percentuale 2 3 3 3 4 4 2" xfId="5148" xr:uid="{739B4EF3-A9B9-49FB-9A25-27709C7DF502}"/>
    <cellStyle name="Percentuale 2 3 3 3 4 4 3" xfId="7142" xr:uid="{E52F4AD4-C126-420A-99F4-5AE49FA7437E}"/>
    <cellStyle name="Percentuale 2 3 3 3 4 5" xfId="1367" xr:uid="{071A3233-DB03-426F-B85E-4B26EF1F985F}"/>
    <cellStyle name="Percentuale 2 3 3 3 4 6" xfId="3683" xr:uid="{A32726C0-B37C-4D4E-9A70-B85213EED33C}"/>
    <cellStyle name="Percentuale 2 3 3 3 4 7" xfId="5773" xr:uid="{D95413EB-CB0B-4C4B-9E7B-34B80C876FB4}"/>
    <cellStyle name="Percentuale 2 3 3 3 5" xfId="1748" xr:uid="{BDBB0927-0FD3-4EF0-8C3E-3F4A3D4C3F49}"/>
    <cellStyle name="Percentuale 2 3 3 3 5 2" xfId="4062" xr:uid="{73A54BC2-3BEF-4D94-90CB-03F5BF747D41}"/>
    <cellStyle name="Percentuale 2 3 3 3 5 3" xfId="6114" xr:uid="{2555F759-4DA2-4DAF-AECB-D0B4A0A43577}"/>
    <cellStyle name="Percentuale 2 3 3 3 6" xfId="1884" xr:uid="{69A6F8D4-0805-450F-8182-B37CFB185096}"/>
    <cellStyle name="Percentuale 2 3 3 3 6 2" xfId="4198" xr:uid="{48E38261-25ED-47A4-86F2-0342F46D9196}"/>
    <cellStyle name="Percentuale 2 3 3 3 6 3" xfId="6244" xr:uid="{1F7F64F5-ACF5-45B2-83F8-929AECB9EAF2}"/>
    <cellStyle name="Percentuale 2 3 3 3 7" xfId="1096" xr:uid="{6AD9253F-0AB7-4A0B-9DE1-61BC35EC7628}"/>
    <cellStyle name="Percentuale 2 3 3 3 8" xfId="3451" xr:uid="{054B5CF4-FEED-4B2C-BEE4-73A5EAE6E37A}"/>
    <cellStyle name="Percentuale 2 3 3 3 9" xfId="5576" xr:uid="{4E2B0A41-5625-48AE-9E2C-4F240584DE31}"/>
    <cellStyle name="Percentuale 2 3 3 4" xfId="420" xr:uid="{11646E0D-E6C7-4D61-9519-912AF02E89CC}"/>
    <cellStyle name="Percentuale 2 3 3 4 2" xfId="1896" xr:uid="{F5255A19-9F16-4EAC-977B-5AC985E7CCBB}"/>
    <cellStyle name="Percentuale 2 3 3 4 2 2" xfId="4210" xr:uid="{7A5056FB-0A0D-43C9-88A6-3B917A523E7E}"/>
    <cellStyle name="Percentuale 2 3 3 4 2 3" xfId="6256" xr:uid="{FAA44BB3-C944-4FF2-A4B3-49EC335E8BC7}"/>
    <cellStyle name="Percentuale 2 3 3 4 3" xfId="2353" xr:uid="{87D4AA51-F8B8-483B-A0AD-F1772C1A3A53}"/>
    <cellStyle name="Percentuale 2 3 3 4 3 2" xfId="4667" xr:uid="{81CF3A14-9276-4E6A-BA37-E2289FB8F8D3}"/>
    <cellStyle name="Percentuale 2 3 3 4 3 3" xfId="6681" xr:uid="{F703C07B-3D55-49EA-B40E-DE9D9BD5994F}"/>
    <cellStyle name="Percentuale 2 3 3 4 4" xfId="2767" xr:uid="{4CC122CD-5AAC-48CD-A9AD-03EF5C158EAA}"/>
    <cellStyle name="Percentuale 2 3 3 4 4 2" xfId="5081" xr:uid="{EA4AEAB0-E623-492E-A0D6-CC6C69F716EA}"/>
    <cellStyle name="Percentuale 2 3 3 4 4 3" xfId="7075" xr:uid="{CD683218-1A21-41AF-A71C-5DE89C113EF2}"/>
    <cellStyle name="Percentuale 2 3 3 4 5" xfId="1268" xr:uid="{A391DDBF-95F4-4B06-91B5-D5840F66DFD5}"/>
    <cellStyle name="Percentuale 2 3 3 4 6" xfId="3596" xr:uid="{1C649222-DB44-4A0B-B837-5EC499C8B0EC}"/>
    <cellStyle name="Percentuale 2 3 3 4 7" xfId="5702" xr:uid="{D9325884-72E1-4FF3-9891-995F6D7E001D}"/>
    <cellStyle name="Percentuale 2 3 3 5" xfId="564" xr:uid="{D4446CC3-5581-41FC-85D6-DFD10BD70EE2}"/>
    <cellStyle name="Percentuale 2 3 3 5 2" xfId="2022" xr:uid="{4B30DBB7-8E45-42A5-A4FB-A865D224E4CA}"/>
    <cellStyle name="Percentuale 2 3 3 5 2 2" xfId="4336" xr:uid="{1B0CB525-A5E3-4AFC-A6F6-5DE88C7167C5}"/>
    <cellStyle name="Percentuale 2 3 3 5 2 3" xfId="6377" xr:uid="{6FF2AA5D-6604-4B4F-B909-54B54586B1BC}"/>
    <cellStyle name="Percentuale 2 3 3 5 3" xfId="2474" xr:uid="{AFC266BC-6528-4A35-B270-AD0B8712D131}"/>
    <cellStyle name="Percentuale 2 3 3 5 3 2" xfId="4788" xr:uid="{87648878-E99F-4879-B37D-F59A0EF36B2E}"/>
    <cellStyle name="Percentuale 2 3 3 5 3 3" xfId="6798" xr:uid="{8827D793-6D28-4031-A362-92CA2A28E487}"/>
    <cellStyle name="Percentuale 2 3 3 5 4" xfId="2879" xr:uid="{3F0CFCBC-4316-4F5F-A97D-D525AEC65EE2}"/>
    <cellStyle name="Percentuale 2 3 3 5 4 2" xfId="5193" xr:uid="{E13F78AA-EE56-4224-B203-8A256E29B563}"/>
    <cellStyle name="Percentuale 2 3 3 5 4 3" xfId="7187" xr:uid="{33E07A41-4FC0-42BF-B2E1-1DC20492EC7C}"/>
    <cellStyle name="Percentuale 2 3 3 5 5" xfId="1412" xr:uid="{E6B3021E-0AC5-4740-9DFD-693413CEED5E}"/>
    <cellStyle name="Percentuale 2 3 3 5 6" xfId="3728" xr:uid="{880AB3F6-BE19-4001-BD98-52F666A5FE87}"/>
    <cellStyle name="Percentuale 2 3 3 5 7" xfId="5818" xr:uid="{C3331C63-A2C9-489D-97CB-A6C6A9A02123}"/>
    <cellStyle name="Percentuale 2 3 3 6" xfId="341" xr:uid="{E1846FEE-7F15-45BF-8111-36C7EEB77D48}"/>
    <cellStyle name="Percentuale 2 3 3 6 2" xfId="1828" xr:uid="{82FAF48E-E025-489B-99BD-B8481D9504C1}"/>
    <cellStyle name="Percentuale 2 3 3 6 2 2" xfId="4142" xr:uid="{5DE395C9-DB12-4BBD-BFF5-CDD30CE10CA3}"/>
    <cellStyle name="Percentuale 2 3 3 6 2 3" xfId="6191" xr:uid="{2B143F29-761D-408B-BCF2-487447AA793F}"/>
    <cellStyle name="Percentuale 2 3 3 6 3" xfId="2283" xr:uid="{ECB5A088-608D-43AD-8348-9F5E5872C52C}"/>
    <cellStyle name="Percentuale 2 3 3 6 3 2" xfId="4597" xr:uid="{7B8D5C97-7EBC-49FF-A051-12FEEF3E2451}"/>
    <cellStyle name="Percentuale 2 3 3 6 3 3" xfId="6619" xr:uid="{52E57029-8F1D-4A09-98B3-5A208B5BDB2B}"/>
    <cellStyle name="Percentuale 2 3 3 6 4" xfId="2713" xr:uid="{AB03558E-28FA-49E7-80E2-BD38ED100C77}"/>
    <cellStyle name="Percentuale 2 3 3 6 4 2" xfId="5027" xr:uid="{892C5D76-A8C2-43B9-9C95-1832ABE87079}"/>
    <cellStyle name="Percentuale 2 3 3 6 4 3" xfId="7021" xr:uid="{3585D32C-8265-4CDB-8991-FD4DD0A8C71D}"/>
    <cellStyle name="Percentuale 2 3 3 6 5" xfId="1189" xr:uid="{D43DC288-47C8-41D0-8333-DD454B649732}"/>
    <cellStyle name="Percentuale 2 3 3 6 6" xfId="3527" xr:uid="{BD146AA7-94A6-4629-8E52-AE4E59820565}"/>
    <cellStyle name="Percentuale 2 3 3 6 7" xfId="5647" xr:uid="{28216FE9-7A81-4B47-8C32-4E4867C83D88}"/>
    <cellStyle name="Percentuale 2 3 3 7" xfId="958" xr:uid="{EE4F6C4F-0106-425C-B08C-AA0FF33759FC}"/>
    <cellStyle name="Percentuale 2 3 3 7 2" xfId="3336" xr:uid="{EF27FBED-C65D-461B-9A7E-0419F13AC7A0}"/>
    <cellStyle name="Percentuale 2 3 3 7 3" xfId="818" xr:uid="{77478465-585B-496C-9085-A82EE2C8E9EB}"/>
    <cellStyle name="Percentuale 2 3 3 7 4" xfId="6463" xr:uid="{9ECDE4C9-3359-4482-85C6-22D6F87348DF}"/>
    <cellStyle name="Percentuale 2 3 3 8" xfId="1648" xr:uid="{ED4B5D98-36A0-41E9-A7F7-687BBB6B5065}"/>
    <cellStyle name="Percentuale 2 3 3 8 2" xfId="3962" xr:uid="{C0502EF1-69FA-4D03-976A-A0A0FF881322}"/>
    <cellStyle name="Percentuale 2 3 3 8 3" xfId="6020" xr:uid="{9B1FD820-34D9-4CA6-92E7-648C8AC6A59F}"/>
    <cellStyle name="Percentuale 2 3 3 9" xfId="1800" xr:uid="{1E6E8637-2104-4D88-A035-E598A0CA6621}"/>
    <cellStyle name="Percentuale 2 3 3 9 2" xfId="4114" xr:uid="{9BFE7D2B-0C72-47D6-9C41-FDE105C7D94E}"/>
    <cellStyle name="Percentuale 2 3 3 9 3" xfId="6163" xr:uid="{557BF719-302D-4217-8F25-8055427ABD14}"/>
    <cellStyle name="Percentuale 2 3 4" xfId="141" xr:uid="{E061E5D1-F59D-4A33-8050-3037853DE1C4}"/>
    <cellStyle name="Percentuale 2 3 4 10" xfId="3669" xr:uid="{6CF76CA1-3DE5-41E1-AB10-2A6A769EEF08}"/>
    <cellStyle name="Percentuale 2 3 4 2" xfId="280" xr:uid="{B7B6D3A1-09AD-4F14-BAB0-117D6528644B}"/>
    <cellStyle name="Percentuale 2 3 4 2 2" xfId="650" xr:uid="{D14A7A6C-BA6C-4846-A44F-DE34169B71F2}"/>
    <cellStyle name="Percentuale 2 3 4 2 2 2" xfId="2108" xr:uid="{46197A36-C3A1-4046-9D35-2F67C570FB33}"/>
    <cellStyle name="Percentuale 2 3 4 2 2 2 2" xfId="4422" xr:uid="{2B00ABE2-6336-4BC9-A85A-E9E1B096C8E9}"/>
    <cellStyle name="Percentuale 2 3 4 2 2 2 3" xfId="8017" xr:uid="{C3222623-3FDA-4D4F-8D42-65443E626D27}"/>
    <cellStyle name="Percentuale 2 3 4 2 2 3" xfId="2560" xr:uid="{174281E1-B6A4-4FD2-AB40-8C26E6FF83EB}"/>
    <cellStyle name="Percentuale 2 3 4 2 2 3 2" xfId="4874" xr:uid="{A8BD5BCE-E908-49E3-B8AC-C20134D6D93E}"/>
    <cellStyle name="Percentuale 2 3 4 2 2 3 3" xfId="8297" xr:uid="{BC5B4D9D-414E-4417-B538-376E34C28ABE}"/>
    <cellStyle name="Percentuale 2 3 4 2 2 4" xfId="1498" xr:uid="{AFDE111C-6AA2-4FAB-A406-78DE854C1E17}"/>
    <cellStyle name="Percentuale 2 3 4 2 2 5" xfId="3814" xr:uid="{7D4D1941-FBB9-4881-A106-12DCD3DE7B5D}"/>
    <cellStyle name="Percentuale 2 3 4 2 2 6" xfId="7646" xr:uid="{5315B78A-E3FF-40B9-8D5B-5A5C7F8E36E8}"/>
    <cellStyle name="Percentuale 2 3 4 2 3" xfId="725" xr:uid="{9D4A189F-47E1-4E9A-8492-06A0A1FF5CEE}"/>
    <cellStyle name="Percentuale 2 3 4 2 3 2" xfId="2183" xr:uid="{C818C16D-7542-4202-A003-AD98F25F65C8}"/>
    <cellStyle name="Percentuale 2 3 4 2 3 2 2" xfId="4497" xr:uid="{90D9EE6F-AD82-4581-B981-191A828B453E}"/>
    <cellStyle name="Percentuale 2 3 4 2 3 2 3" xfId="6519" xr:uid="{443C45D3-786B-4DDF-ACE4-7CBD8B43DF51}"/>
    <cellStyle name="Percentuale 2 3 4 2 3 3" xfId="2635" xr:uid="{99B7AC60-B492-4338-A400-B4090938D689}"/>
    <cellStyle name="Percentuale 2 3 4 2 3 3 2" xfId="4949" xr:uid="{2C6E1A9E-FC29-4F3E-BDBB-DF5198CFA3E2}"/>
    <cellStyle name="Percentuale 2 3 4 2 3 3 3" xfId="6943" xr:uid="{F847C454-C93B-4307-B1C7-16F97BEB90AA}"/>
    <cellStyle name="Percentuale 2 3 4 2 3 4" xfId="3010" xr:uid="{78DC90BA-A5C9-491E-8070-3743483FA33C}"/>
    <cellStyle name="Percentuale 2 3 4 2 3 4 2" xfId="5324" xr:uid="{F77976A9-BE18-48A4-85B3-51BE106DD4BF}"/>
    <cellStyle name="Percentuale 2 3 4 2 3 4 3" xfId="7318" xr:uid="{8B7B2ED3-E68D-4417-B4E5-3CA65D399C4D}"/>
    <cellStyle name="Percentuale 2 3 4 2 3 5" xfId="1573" xr:uid="{A557D269-BF62-4B09-99C6-853C50754A4B}"/>
    <cellStyle name="Percentuale 2 3 4 2 3 6" xfId="3889" xr:uid="{BB6D5896-71C2-4FFD-BDF3-9803AA8733D4}"/>
    <cellStyle name="Percentuale 2 3 4 2 3 7" xfId="5956" xr:uid="{D69DCC66-4A5C-4611-9178-F07CD8820AE5}"/>
    <cellStyle name="Percentuale 2 3 4 2 4" xfId="531" xr:uid="{DA5FF593-62B8-4A12-92AC-2DA059F75377}"/>
    <cellStyle name="Percentuale 2 3 4 2 4 2" xfId="1990" xr:uid="{0404A8B9-5AA2-4F8F-A380-024C402C1646}"/>
    <cellStyle name="Percentuale 2 3 4 2 4 2 2" xfId="4304" xr:uid="{EE0950A2-D161-4870-B90D-34D54502BBA0}"/>
    <cellStyle name="Percentuale 2 3 4 2 4 2 3" xfId="6345" xr:uid="{4EA15C4C-2E9B-4DB9-AC9A-EDAAC0C66DA9}"/>
    <cellStyle name="Percentuale 2 3 4 2 4 3" xfId="2441" xr:uid="{258988F7-D5B0-4465-B193-3FB3A138696B}"/>
    <cellStyle name="Percentuale 2 3 4 2 4 3 2" xfId="4755" xr:uid="{7BEB38FA-DD5D-4E2C-8FDF-55E65463766C}"/>
    <cellStyle name="Percentuale 2 3 4 2 4 3 3" xfId="6765" xr:uid="{92E69C2F-C0BA-40D1-B159-FF19DCFD7180}"/>
    <cellStyle name="Percentuale 2 3 4 2 4 4" xfId="2846" xr:uid="{AE81E52F-F565-44D2-9256-9F796ED7273B}"/>
    <cellStyle name="Percentuale 2 3 4 2 4 4 2" xfId="5160" xr:uid="{8339DD53-85A1-407E-AE1A-272698FC0B93}"/>
    <cellStyle name="Percentuale 2 3 4 2 4 4 3" xfId="7154" xr:uid="{65FF5763-3748-4075-A420-52C8D02D0F55}"/>
    <cellStyle name="Percentuale 2 3 4 2 4 5" xfId="1379" xr:uid="{80280A4F-07BA-4E80-B5E6-D5E8454A9A36}"/>
    <cellStyle name="Percentuale 2 3 4 2 4 6" xfId="3695" xr:uid="{B1099758-99B9-42F1-B201-F0C7FC7F18CC}"/>
    <cellStyle name="Percentuale 2 3 4 2 4 7" xfId="5785" xr:uid="{8BE248C8-0E5A-4B6F-9E7B-3E7904E973B4}"/>
    <cellStyle name="Percentuale 2 3 4 2 5" xfId="1774" xr:uid="{B54E3234-F99D-4496-B2A7-08F48C6BE77B}"/>
    <cellStyle name="Percentuale 2 3 4 2 5 2" xfId="4088" xr:uid="{2C74E63D-B559-4CD0-AE8A-C599217D5F53}"/>
    <cellStyle name="Percentuale 2 3 4 2 5 3" xfId="6137" xr:uid="{5AAE6D13-F4B0-49CE-BCB9-7EFB1923B7AD}"/>
    <cellStyle name="Percentuale 2 3 4 2 6" xfId="2234" xr:uid="{226139CD-3912-49F0-9686-32A1A089C19C}"/>
    <cellStyle name="Percentuale 2 3 4 2 6 2" xfId="4548" xr:uid="{3C566B5B-87D2-49A2-A1BF-DA4109933907}"/>
    <cellStyle name="Percentuale 2 3 4 2 6 3" xfId="6570" xr:uid="{A8CF830D-E51C-49E1-89DE-CD50361923F6}"/>
    <cellStyle name="Percentuale 2 3 4 2 7" xfId="1128" xr:uid="{F05D634C-634B-4130-B6F8-843BCA069443}"/>
    <cellStyle name="Percentuale 2 3 4 2 8" xfId="3479" xr:uid="{4A84255D-FCE2-494C-8069-8698D9018E89}"/>
    <cellStyle name="Percentuale 2 3 4 2 9" xfId="5599" xr:uid="{0388D035-80F0-4B79-A370-3EFC28FFC1E4}"/>
    <cellStyle name="Percentuale 2 3 4 3" xfId="452" xr:uid="{93EF7265-7AFF-4AD2-BB7F-5D6E46922637}"/>
    <cellStyle name="Percentuale 2 3 4 3 2" xfId="1921" xr:uid="{A6FC9B32-657B-46C7-AB46-714C9AFA36A5}"/>
    <cellStyle name="Percentuale 2 3 4 3 2 2" xfId="4235" xr:uid="{3C8362D0-423C-4F53-81FF-AB842BD335FD}"/>
    <cellStyle name="Percentuale 2 3 4 3 2 3" xfId="6280" xr:uid="{0F88B43D-F714-49D2-9129-FF10DE4A9CFB}"/>
    <cellStyle name="Percentuale 2 3 4 3 3" xfId="2376" xr:uid="{D6D81E46-4C38-469B-9112-989380C400FB}"/>
    <cellStyle name="Percentuale 2 3 4 3 3 2" xfId="4690" xr:uid="{A61732CA-EAAE-48BA-BB87-2BCA18076098}"/>
    <cellStyle name="Percentuale 2 3 4 3 3 3" xfId="6703" xr:uid="{CA589F2D-9D23-4739-AF95-E21803681007}"/>
    <cellStyle name="Percentuale 2 3 4 3 4" xfId="2787" xr:uid="{F0993088-4550-469B-8A4C-EFE734F88067}"/>
    <cellStyle name="Percentuale 2 3 4 3 4 2" xfId="5101" xr:uid="{6537F891-EBF2-4E53-9A17-152859157031}"/>
    <cellStyle name="Percentuale 2 3 4 3 4 3" xfId="7095" xr:uid="{2BD7D079-EDFE-401D-A8E6-9D84D805E09C}"/>
    <cellStyle name="Percentuale 2 3 4 3 5" xfId="1300" xr:uid="{EF0F68F3-781F-4B54-AAEE-7D142B84E228}"/>
    <cellStyle name="Percentuale 2 3 4 3 6" xfId="3625" xr:uid="{4863A858-E4C4-4838-9CC5-86CE8E646B90}"/>
    <cellStyle name="Percentuale 2 3 4 3 7" xfId="5724" xr:uid="{6A492B68-7C4E-4484-91F7-5353AB28C6DC}"/>
    <cellStyle name="Percentuale 2 3 4 4" xfId="585" xr:uid="{1BCDCAB2-05E0-4F24-8171-7FC7BB136B49}"/>
    <cellStyle name="Percentuale 2 3 4 4 2" xfId="2043" xr:uid="{31E23A9F-8339-485B-9738-B7BA4CAB244C}"/>
    <cellStyle name="Percentuale 2 3 4 4 2 2" xfId="4357" xr:uid="{0D257D8C-F85E-452B-85FF-F9FB0B5A09BE}"/>
    <cellStyle name="Percentuale 2 3 4 4 2 3" xfId="6398" xr:uid="{3253A67B-9853-41BE-8C48-E21A1F050341}"/>
    <cellStyle name="Percentuale 2 3 4 4 3" xfId="2495" xr:uid="{A7E7EA18-5123-4C0E-8EB0-2B9693B62028}"/>
    <cellStyle name="Percentuale 2 3 4 4 3 2" xfId="4809" xr:uid="{820FC223-61AE-4AA4-BCF4-BDBD4C519DD7}"/>
    <cellStyle name="Percentuale 2 3 4 4 3 3" xfId="6819" xr:uid="{9B073866-3331-4083-88D5-1C84B95DB6DE}"/>
    <cellStyle name="Percentuale 2 3 4 4 4" xfId="2900" xr:uid="{303415A8-6B21-44DB-807B-987AA4EA72F0}"/>
    <cellStyle name="Percentuale 2 3 4 4 4 2" xfId="5214" xr:uid="{C1C667B3-94B3-43CC-9191-4742B6662A7C}"/>
    <cellStyle name="Percentuale 2 3 4 4 4 3" xfId="7208" xr:uid="{6B31E87F-0728-420B-BB63-1D9CF1B38DAE}"/>
    <cellStyle name="Percentuale 2 3 4 4 5" xfId="1433" xr:uid="{5EDB7F2D-DDC1-44B5-A862-551D318E6DAA}"/>
    <cellStyle name="Percentuale 2 3 4 4 6" xfId="3749" xr:uid="{96C97930-2AD2-4F01-90BC-0EB84F4200A8}"/>
    <cellStyle name="Percentuale 2 3 4 4 7" xfId="5839" xr:uid="{967BBA08-A297-4E65-B05E-FD6B76E8989A}"/>
    <cellStyle name="Percentuale 2 3 4 5" xfId="353" xr:uid="{BDA25043-5EF5-4643-8185-4797DB5BA0BA}"/>
    <cellStyle name="Percentuale 2 3 4 5 2" xfId="1840" xr:uid="{4D386483-37DA-4ABD-82DF-F2683FC106C2}"/>
    <cellStyle name="Percentuale 2 3 4 5 2 2" xfId="4154" xr:uid="{F21B7C87-BBBA-4EC8-86AF-D55B51F1C181}"/>
    <cellStyle name="Percentuale 2 3 4 5 2 3" xfId="6203" xr:uid="{A9D35DA7-79F8-4070-9FF3-837BE6D58507}"/>
    <cellStyle name="Percentuale 2 3 4 5 3" xfId="2295" xr:uid="{32629048-EC43-433E-A086-F2AAE4F971F4}"/>
    <cellStyle name="Percentuale 2 3 4 5 3 2" xfId="4609" xr:uid="{2E592707-D89E-44C5-9832-900585BCB6E5}"/>
    <cellStyle name="Percentuale 2 3 4 5 3 3" xfId="6631" xr:uid="{5D717709-D3E2-4DB3-A7FA-E349EB622462}"/>
    <cellStyle name="Percentuale 2 3 4 5 4" xfId="2725" xr:uid="{CC84BB99-6966-463E-92AE-8EB82750FBE0}"/>
    <cellStyle name="Percentuale 2 3 4 5 4 2" xfId="5039" xr:uid="{1CE0C5F7-FC40-47DA-955D-6059A5BAA2CC}"/>
    <cellStyle name="Percentuale 2 3 4 5 4 3" xfId="7033" xr:uid="{468B4BFC-660F-483F-B426-2DD78F3CDA14}"/>
    <cellStyle name="Percentuale 2 3 4 5 5" xfId="1201" xr:uid="{15EB682E-BD11-4FD3-9395-2AF5349270A1}"/>
    <cellStyle name="Percentuale 2 3 4 5 6" xfId="3539" xr:uid="{3E42A0F4-7EC4-42B8-AC3C-EA19C8CB172C}"/>
    <cellStyle name="Percentuale 2 3 4 5 7" xfId="5659" xr:uid="{7494814E-644C-42DA-B56A-441239F156BE}"/>
    <cellStyle name="Percentuale 2 3 4 6" xfId="1674" xr:uid="{8191B8EB-9AB0-48AC-86C5-58F473099A0F}"/>
    <cellStyle name="Percentuale 2 3 4 6 2" xfId="3988" xr:uid="{E0924D1C-05FD-45B4-8850-9072F4CC49A9}"/>
    <cellStyle name="Percentuale 2 3 4 6 3" xfId="6044" xr:uid="{E9223F57-B8A9-4DEF-B928-48431828CE35}"/>
    <cellStyle name="Percentuale 2 3 4 7" xfId="1731" xr:uid="{F0C31613-8F45-49E5-B7AC-BED78FC2C28F}"/>
    <cellStyle name="Percentuale 2 3 4 7 2" xfId="4045" xr:uid="{CF3F3D3E-B688-443E-8CB3-FA1B8BC383CB}"/>
    <cellStyle name="Percentuale 2 3 4 7 3" xfId="6097" xr:uid="{735D9A98-9A02-4335-BC44-81C148C2C0EB}"/>
    <cellStyle name="Percentuale 2 3 4 8" xfId="991" xr:uid="{B984212C-E904-46C8-B895-BA7CC06C0390}"/>
    <cellStyle name="Percentuale 2 3 4 9" xfId="3363" xr:uid="{586F8038-4AC6-4EA7-AEC4-165F54C17A38}"/>
    <cellStyle name="Percentuale 2 3 5" xfId="210" xr:uid="{EC79F34C-7AAE-456C-807C-4DE08A7FC1FF}"/>
    <cellStyle name="Percentuale 2 3 5 2" xfId="397" xr:uid="{F38D7A95-44AE-44F1-A94D-B0A66EAAC071}"/>
    <cellStyle name="Percentuale 2 3 5 2 2" xfId="1878" xr:uid="{6E94E007-6950-4320-A665-A8F13E315113}"/>
    <cellStyle name="Percentuale 2 3 5 2 2 2" xfId="4192" xr:uid="{E1DF4C6D-FFF6-4D46-8B90-53F45E3C324D}"/>
    <cellStyle name="Percentuale 2 3 5 2 2 3" xfId="6238" xr:uid="{C32B9D4F-E304-4A43-9437-15FAECB263D8}"/>
    <cellStyle name="Percentuale 2 3 5 2 3" xfId="2335" xr:uid="{9C6D5782-5593-4D4B-8092-33D67160EAEC}"/>
    <cellStyle name="Percentuale 2 3 5 2 3 2" xfId="4649" xr:uid="{2728544D-34E1-4AC3-BE8E-44511705694E}"/>
    <cellStyle name="Percentuale 2 3 5 2 3 3" xfId="6664" xr:uid="{2BBF82A4-0A47-470F-B710-714E781A09AF}"/>
    <cellStyle name="Percentuale 2 3 5 2 4" xfId="2751" xr:uid="{3C81458B-9A14-45BE-A9D0-0D69F59A2128}"/>
    <cellStyle name="Percentuale 2 3 5 2 4 2" xfId="5065" xr:uid="{E6E687A8-79B4-4C38-AB96-3405B35FF77A}"/>
    <cellStyle name="Percentuale 2 3 5 2 4 3" xfId="7059" xr:uid="{17749922-1DA3-4DE2-8F36-79A3C2D5B308}"/>
    <cellStyle name="Percentuale 2 3 5 2 5" xfId="1245" xr:uid="{7ACD8011-EB5C-4D52-9A5E-274330126554}"/>
    <cellStyle name="Percentuale 2 3 5 2 6" xfId="3578" xr:uid="{D7EF5C88-9F36-4AA0-8AD0-8D6830F4EC30}"/>
    <cellStyle name="Percentuale 2 3 5 2 7" xfId="5689" xr:uid="{02FCF993-FCA9-41DD-BC70-4BA685DD5EE6}"/>
    <cellStyle name="Percentuale 2 3 5 3" xfId="1718" xr:uid="{4762F6D3-28B4-4F06-9D6B-78604CC4BF6F}"/>
    <cellStyle name="Percentuale 2 3 5 3 2" xfId="4032" xr:uid="{E882919C-CBAC-4A27-A4F5-3126E35966D2}"/>
    <cellStyle name="Percentuale 2 3 5 3 3" xfId="7780" xr:uid="{63239029-C901-4815-97EE-9685E2775BF8}"/>
    <cellStyle name="Percentuale 2 3 5 4" xfId="1691" xr:uid="{7037BCF6-A14B-4B75-AB8C-5AF32A351702}"/>
    <cellStyle name="Percentuale 2 3 5 4 2" xfId="4005" xr:uid="{017A277F-6EE5-4910-AC04-98E6C91FF606}"/>
    <cellStyle name="Percentuale 2 3 5 4 3" xfId="7767" xr:uid="{0110C71F-F3C2-43ED-B41F-1B7A4C7AC701}"/>
    <cellStyle name="Percentuale 2 3 5 5" xfId="1058" xr:uid="{A0AAA28B-0F42-4523-8636-18A496A6E13F}"/>
    <cellStyle name="Percentuale 2 3 5 6" xfId="3417" xr:uid="{B852995C-DB44-4D02-90BD-8134E225557D}"/>
    <cellStyle name="Percentuale 2 3 5 7" xfId="5542" xr:uid="{4F972FE1-FE3E-4412-A9AD-D43712AC66A4}"/>
    <cellStyle name="Percentuale 2 3 6" xfId="379" xr:uid="{426A0B0F-0B2D-4D97-8C75-3A7FB50EE5E2}"/>
    <cellStyle name="Percentuale 2 3 6 2" xfId="1861" xr:uid="{D65566A9-78D5-4653-AC0B-F115FF2D378B}"/>
    <cellStyle name="Percentuale 2 3 6 2 2" xfId="4175" xr:uid="{CC73AB67-5E61-40AA-B1B5-F8E6A14EDA1F}"/>
    <cellStyle name="Percentuale 2 3 6 2 3" xfId="7861" xr:uid="{37CED441-B84F-4B66-84C7-43FDDD6E5D6F}"/>
    <cellStyle name="Percentuale 2 3 6 3" xfId="2318" xr:uid="{F2109D4D-1838-4DC9-8AFC-A3D5EDE67E2F}"/>
    <cellStyle name="Percentuale 2 3 6 3 2" xfId="4632" xr:uid="{ADF9434E-FE20-4DA1-9CA7-E7BCD107364D}"/>
    <cellStyle name="Percentuale 2 3 6 3 3" xfId="8144" xr:uid="{B36950B2-1479-40E1-A3A8-C50AE39A8D16}"/>
    <cellStyle name="Percentuale 2 3 6 4" xfId="1227" xr:uid="{D993A5CD-C1E4-4B23-856A-F3BAA54ACB8D}"/>
    <cellStyle name="Percentuale 2 3 6 5" xfId="3562" xr:uid="{E3EE3267-5C20-4D5C-9F84-7665E0D51067}"/>
    <cellStyle name="Percentuale 2 3 6 6" xfId="3228" xr:uid="{AC9C61B4-8828-4479-8ABD-2FADB403E90D}"/>
    <cellStyle name="Percentuale 2 3 7" xfId="910" xr:uid="{3112B484-89DD-426C-B0BA-20F85DFC863C}"/>
    <cellStyle name="Percentuale 2 3 7 2" xfId="3292" xr:uid="{9386BDBD-32B2-4EF0-B019-D6D88941FAF7}"/>
    <cellStyle name="Percentuale 2 3 7 3" xfId="3934" xr:uid="{89089B05-E730-4EC0-968D-A99DE9A79B29}"/>
    <cellStyle name="Percentuale 2 3 8" xfId="807" xr:uid="{D6B125EE-12D5-46D9-AB77-197555AC486E}"/>
    <cellStyle name="Percentuale 2 3 9" xfId="814" xr:uid="{A057775B-C5D7-4AE7-9966-9EAC83CACE68}"/>
    <cellStyle name="Percentuale 2 4" xfId="65" xr:uid="{00000000-0005-0000-0000-00003A000000}"/>
    <cellStyle name="Percentuale 2 4 2" xfId="114" xr:uid="{37389881-A0ED-4C74-9F9C-CD59353EF5CA}"/>
    <cellStyle name="Percentuale 2 4 2 2" xfId="186" xr:uid="{284EE2B8-D112-405D-AB48-D642DDD218F1}"/>
    <cellStyle name="Percentuale 2 4 2 2 10" xfId="5694" xr:uid="{B5A572C8-EF1F-4533-80BB-972D0A40844C}"/>
    <cellStyle name="Percentuale 2 4 2 2 2" xfId="323" xr:uid="{DA080670-65BB-4E6C-8138-78FEC29C7F90}"/>
    <cellStyle name="Percentuale 2 4 2 2 2 2" xfId="680" xr:uid="{2F867F1A-7BD5-4CE6-86FB-92960DA237AE}"/>
    <cellStyle name="Percentuale 2 4 2 2 2 2 2" xfId="2138" xr:uid="{7855DC72-F7D4-461F-90FE-19D9CE79F2D8}"/>
    <cellStyle name="Percentuale 2 4 2 2 2 2 2 2" xfId="4452" xr:uid="{828EA410-A73F-4DDB-B92C-65CF543A7BF4}"/>
    <cellStyle name="Percentuale 2 4 2 2 2 2 2 3" xfId="8046" xr:uid="{E7263FB7-6373-40A9-A2AE-7B6599DDE486}"/>
    <cellStyle name="Percentuale 2 4 2 2 2 2 3" xfId="2590" xr:uid="{3246EC53-3381-4CCF-B270-7F4969F28C9F}"/>
    <cellStyle name="Percentuale 2 4 2 2 2 2 3 2" xfId="4904" xr:uid="{CDF71C5F-F948-4919-A3DB-EAE687C5DC7C}"/>
    <cellStyle name="Percentuale 2 4 2 2 2 2 3 3" xfId="8326" xr:uid="{8D3C071B-B995-40EB-8190-ECD157373488}"/>
    <cellStyle name="Percentuale 2 4 2 2 2 2 4" xfId="1528" xr:uid="{627E1474-8757-4148-8C91-CE41ADA021DE}"/>
    <cellStyle name="Percentuale 2 4 2 2 2 2 5" xfId="3844" xr:uid="{7CDF1DC7-57E1-4D42-AAA9-BC649FF6208B}"/>
    <cellStyle name="Percentuale 2 4 2 2 2 2 6" xfId="7675" xr:uid="{C50A3042-7850-418B-B49A-B42BEEB41722}"/>
    <cellStyle name="Percentuale 2 4 2 2 2 3" xfId="752" xr:uid="{5BB8FE46-5629-453C-93ED-64E8ED2D2287}"/>
    <cellStyle name="Percentuale 2 4 2 2 2 3 2" xfId="2210" xr:uid="{A900A103-CE4D-45D9-B2C3-8EC7F1450A65}"/>
    <cellStyle name="Percentuale 2 4 2 2 2 3 2 2" xfId="4524" xr:uid="{3F8AD466-F0DD-45CE-B1C5-4C832510369D}"/>
    <cellStyle name="Percentuale 2 4 2 2 2 3 2 3" xfId="6546" xr:uid="{C15292ED-229C-4EB9-AD15-38DBE259BB7F}"/>
    <cellStyle name="Percentuale 2 4 2 2 2 3 3" xfId="2662" xr:uid="{F715F226-E4BC-462F-9F82-79C1E8C53476}"/>
    <cellStyle name="Percentuale 2 4 2 2 2 3 3 2" xfId="4976" xr:uid="{1635F53D-355E-4501-B880-85049031B25E}"/>
    <cellStyle name="Percentuale 2 4 2 2 2 3 3 3" xfId="6970" xr:uid="{FD56E28F-2870-4D36-BD9D-C84F955E706F}"/>
    <cellStyle name="Percentuale 2 4 2 2 2 3 4" xfId="3037" xr:uid="{A64E40F8-4ABF-447E-9003-5A4CA84595A7}"/>
    <cellStyle name="Percentuale 2 4 2 2 2 3 4 2" xfId="5351" xr:uid="{CFC0901A-E0BB-49F1-8237-6D7252C9D973}"/>
    <cellStyle name="Percentuale 2 4 2 2 2 3 4 3" xfId="7345" xr:uid="{0F374CAD-28A9-4CE2-8452-025FFC0A3BAB}"/>
    <cellStyle name="Percentuale 2 4 2 2 2 3 5" xfId="1600" xr:uid="{130546BE-8817-4C56-B051-A5196D14A247}"/>
    <cellStyle name="Percentuale 2 4 2 2 2 3 6" xfId="3916" xr:uid="{94F853DA-3DC3-4017-84A2-6FF4D6B3D3B0}"/>
    <cellStyle name="Percentuale 2 4 2 2 2 3 7" xfId="5983" xr:uid="{348A6A56-E4F2-4CDA-9C37-86556E075D02}"/>
    <cellStyle name="Percentuale 2 4 2 2 2 4" xfId="543" xr:uid="{BCFEAB3D-9D03-459E-B362-1C65E03D713B}"/>
    <cellStyle name="Percentuale 2 4 2 2 2 4 2" xfId="2002" xr:uid="{4D4E8935-2801-4B4E-9A13-AE4542B7F899}"/>
    <cellStyle name="Percentuale 2 4 2 2 2 4 2 2" xfId="4316" xr:uid="{47DC749D-61C8-4DBF-B4B6-6A97C17A138E}"/>
    <cellStyle name="Percentuale 2 4 2 2 2 4 2 3" xfId="6357" xr:uid="{A9A9E2E1-1285-4B6D-9928-B65D217495A6}"/>
    <cellStyle name="Percentuale 2 4 2 2 2 4 3" xfId="2453" xr:uid="{F0A71241-AAEB-46A6-BB94-40120F278BEC}"/>
    <cellStyle name="Percentuale 2 4 2 2 2 4 3 2" xfId="4767" xr:uid="{74EDBE81-6F13-4102-B36E-EC6881B02F0F}"/>
    <cellStyle name="Percentuale 2 4 2 2 2 4 3 3" xfId="6777" xr:uid="{1FD02269-9AE8-4E2A-A992-B0C3F9495370}"/>
    <cellStyle name="Percentuale 2 4 2 2 2 4 4" xfId="2858" xr:uid="{638A0912-70C0-4F45-8CD5-C10CEE3DFEE6}"/>
    <cellStyle name="Percentuale 2 4 2 2 2 4 4 2" xfId="5172" xr:uid="{D05907CA-A11A-4043-9EFF-6DEDE99BFD65}"/>
    <cellStyle name="Percentuale 2 4 2 2 2 4 4 3" xfId="7166" xr:uid="{DDC67C37-2718-4F8B-983E-7B4823420B91}"/>
    <cellStyle name="Percentuale 2 4 2 2 2 4 5" xfId="1391" xr:uid="{A731A761-E008-4628-B5FA-F65577E367A1}"/>
    <cellStyle name="Percentuale 2 4 2 2 2 4 6" xfId="3707" xr:uid="{81A6A6CB-5260-4467-8743-514B17A68B55}"/>
    <cellStyle name="Percentuale 2 4 2 2 2 4 7" xfId="5797" xr:uid="{6E7A107D-EB96-4E95-A1EB-1B960E38E2A9}"/>
    <cellStyle name="Percentuale 2 4 2 2 2 5" xfId="1811" xr:uid="{1F15C3FE-44F8-4ABE-A409-3F40EAC69431}"/>
    <cellStyle name="Percentuale 2 4 2 2 2 5 2" xfId="4125" xr:uid="{FDB7B9FC-33AD-4B14-8068-01F27CDCACDB}"/>
    <cellStyle name="Percentuale 2 4 2 2 2 5 3" xfId="6174" xr:uid="{FAA6FE89-4A34-4576-B8B4-2FD8653FF9BF}"/>
    <cellStyle name="Percentuale 2 4 2 2 2 6" xfId="2268" xr:uid="{3F0D6D73-40BB-412B-AF03-C437B070C13A}"/>
    <cellStyle name="Percentuale 2 4 2 2 2 6 2" xfId="4582" xr:uid="{99135E71-8B2A-455F-93FA-E78EE5690BE9}"/>
    <cellStyle name="Percentuale 2 4 2 2 2 6 3" xfId="6604" xr:uid="{CF061208-3CCC-4D00-85AC-CDD3380DA5C1}"/>
    <cellStyle name="Percentuale 2 4 2 2 2 7" xfId="1171" xr:uid="{8CECE171-B28E-4489-98B9-64F2F787397A}"/>
    <cellStyle name="Percentuale 2 4 2 2 2 8" xfId="3511" xr:uid="{AC9CC827-969D-4884-BE82-E05BA4E354F1}"/>
    <cellStyle name="Percentuale 2 4 2 2 2 9" xfId="5632" xr:uid="{A82DFF8F-2A64-40A9-8D29-53AA95422AF7}"/>
    <cellStyle name="Percentuale 2 4 2 2 3" xfId="497" xr:uid="{CC126826-119A-4322-BDDA-C0483C1369FB}"/>
    <cellStyle name="Percentuale 2 4 2 2 3 2" xfId="1958" xr:uid="{9459E985-2C39-436D-9CD6-69E89A1E48E1}"/>
    <cellStyle name="Percentuale 2 4 2 2 3 2 2" xfId="4272" xr:uid="{5C98FA20-1878-46D9-A5F1-1D308E493E1F}"/>
    <cellStyle name="Percentuale 2 4 2 2 3 2 3" xfId="6314" xr:uid="{E69B1FC8-25D9-4559-8731-C17242D16686}"/>
    <cellStyle name="Percentuale 2 4 2 2 3 3" xfId="2411" xr:uid="{C0935476-2FA0-44C7-A2A4-BC922AE2CA53}"/>
    <cellStyle name="Percentuale 2 4 2 2 3 3 2" xfId="4725" xr:uid="{8C80F92C-B37A-498C-A702-ACC4D8BC4C4F}"/>
    <cellStyle name="Percentuale 2 4 2 2 3 3 3" xfId="6737" xr:uid="{8702A2FC-90BF-4FFD-B8AD-EE4E5296DD88}"/>
    <cellStyle name="Percentuale 2 4 2 2 3 4" xfId="2818" xr:uid="{345AAA4D-1858-4FA9-A90A-6FF257BE24E1}"/>
    <cellStyle name="Percentuale 2 4 2 2 3 4 2" xfId="5132" xr:uid="{6C711F14-7CA9-4442-A800-FDFB3F311CED}"/>
    <cellStyle name="Percentuale 2 4 2 2 3 4 3" xfId="7126" xr:uid="{52473C3F-60EF-4B85-B79F-DA258FA0B78A}"/>
    <cellStyle name="Percentuale 2 4 2 2 3 5" xfId="1345" xr:uid="{063570BA-2C09-49E4-84D5-A8622216B84B}"/>
    <cellStyle name="Percentuale 2 4 2 2 3 6" xfId="3662" xr:uid="{BCA0A2DF-E87C-471B-A513-8D60387F3377}"/>
    <cellStyle name="Percentuale 2 4 2 2 3 7" xfId="5755" xr:uid="{E63B55DC-D46B-45D2-AEE1-BA7C692FDB81}"/>
    <cellStyle name="Percentuale 2 4 2 2 4" xfId="604" xr:uid="{8AF9EE46-CCB2-4754-81D2-DA391DF3B67D}"/>
    <cellStyle name="Percentuale 2 4 2 2 4 2" xfId="2062" xr:uid="{663C19AB-2103-4146-90AC-79DE44C4E74E}"/>
    <cellStyle name="Percentuale 2 4 2 2 4 2 2" xfId="4376" xr:uid="{1C81FBFD-5EC8-4F48-9F7E-9DBF62C190F5}"/>
    <cellStyle name="Percentuale 2 4 2 2 4 2 3" xfId="6417" xr:uid="{1050F473-6FA7-4301-BB09-E9801C92E561}"/>
    <cellStyle name="Percentuale 2 4 2 2 4 3" xfId="2514" xr:uid="{294A1EB4-EAFD-4D47-9546-77687DE907D2}"/>
    <cellStyle name="Percentuale 2 4 2 2 4 3 2" xfId="4828" xr:uid="{214F2334-F54E-41A0-9171-068863757FAB}"/>
    <cellStyle name="Percentuale 2 4 2 2 4 3 3" xfId="6838" xr:uid="{F61B06BE-16CD-491D-949E-A954B42E941D}"/>
    <cellStyle name="Percentuale 2 4 2 2 4 4" xfId="2919" xr:uid="{4016776E-3541-4BDE-B96B-FF105BBD7242}"/>
    <cellStyle name="Percentuale 2 4 2 2 4 4 2" xfId="5233" xr:uid="{5844B5F6-B2FD-47B9-A9AB-5D6D142F23C7}"/>
    <cellStyle name="Percentuale 2 4 2 2 4 4 3" xfId="7227" xr:uid="{86232B92-48FD-45B0-9DFA-2AA02C92A109}"/>
    <cellStyle name="Percentuale 2 4 2 2 4 5" xfId="1452" xr:uid="{155E02A0-BD55-4D4C-A349-08D18F2A9E8D}"/>
    <cellStyle name="Percentuale 2 4 2 2 4 6" xfId="3768" xr:uid="{4720A311-1CDB-4A08-A8A9-FDC735E6C529}"/>
    <cellStyle name="Percentuale 2 4 2 2 4 7" xfId="5858" xr:uid="{5B5BAA96-AAB7-44C4-9A3C-E1718904F4E4}"/>
    <cellStyle name="Percentuale 2 4 2 2 5" xfId="362" xr:uid="{0733F24F-B896-4816-9320-57B9513AABB4}"/>
    <cellStyle name="Percentuale 2 4 2 2 5 2" xfId="1849" xr:uid="{C27AF9D2-4C4D-48F9-83C4-8565A063AB36}"/>
    <cellStyle name="Percentuale 2 4 2 2 5 2 2" xfId="4163" xr:uid="{B724487E-0E89-44BD-A285-8BC445E3AC7E}"/>
    <cellStyle name="Percentuale 2 4 2 2 5 2 3" xfId="6212" xr:uid="{FD3E4FB8-B302-4FC0-A24D-9C3F472B0EC9}"/>
    <cellStyle name="Percentuale 2 4 2 2 5 3" xfId="2304" xr:uid="{AD07AE57-89FC-471B-B9AF-880CB985AEB4}"/>
    <cellStyle name="Percentuale 2 4 2 2 5 3 2" xfId="4618" xr:uid="{511E0C71-D1B7-431B-984C-77422841C069}"/>
    <cellStyle name="Percentuale 2 4 2 2 5 3 3" xfId="6640" xr:uid="{ADAF028B-67FE-4C68-AE94-D000687D00C4}"/>
    <cellStyle name="Percentuale 2 4 2 2 5 4" xfId="2734" xr:uid="{78419CB0-6722-4E44-B043-A182CB34DDFF}"/>
    <cellStyle name="Percentuale 2 4 2 2 5 4 2" xfId="5048" xr:uid="{6873AAEC-AFD7-49B5-B2A5-851475033575}"/>
    <cellStyle name="Percentuale 2 4 2 2 5 4 3" xfId="7042" xr:uid="{F62584C2-CAF3-4BA5-A4B1-A051CBA0E2B1}"/>
    <cellStyle name="Percentuale 2 4 2 2 5 5" xfId="1210" xr:uid="{8A5DBB76-940A-46CA-B687-1D2C5211BB4E}"/>
    <cellStyle name="Percentuale 2 4 2 2 5 6" xfId="3548" xr:uid="{30261281-1E90-417C-AA5C-4C4DE56CBAA2}"/>
    <cellStyle name="Percentuale 2 4 2 2 5 7" xfId="5668" xr:uid="{15ECFD96-6695-4D4C-86C1-E1CD4AEF2BA0}"/>
    <cellStyle name="Percentuale 2 4 2 2 6" xfId="1701" xr:uid="{1E56E432-E780-4021-9950-FA89911BF372}"/>
    <cellStyle name="Percentuale 2 4 2 2 6 2" xfId="4015" xr:uid="{04CEC018-183F-4914-B8A2-97F81BBDBEE9}"/>
    <cellStyle name="Percentuale 2 4 2 2 6 3" xfId="6069" xr:uid="{1FB7998D-8F05-41E0-A80D-05462C2957A6}"/>
    <cellStyle name="Percentuale 2 4 2 2 7" xfId="2221" xr:uid="{86A96217-CD55-40AA-AE04-F86C930DB817}"/>
    <cellStyle name="Percentuale 2 4 2 2 7 2" xfId="4535" xr:uid="{8E1194B4-ACBC-4432-A638-F5AFFE7FC1CC}"/>
    <cellStyle name="Percentuale 2 4 2 2 7 3" xfId="6557" xr:uid="{E31E9E36-9840-450E-8D4E-F91FD0B81BE1}"/>
    <cellStyle name="Percentuale 2 4 2 2 8" xfId="1034" xr:uid="{A64EBD6E-6739-4290-8D5E-020BF72E8BF8}"/>
    <cellStyle name="Percentuale 2 4 2 2 9" xfId="3398" xr:uid="{8C0FA0AB-5FA9-4A1B-9AFE-A4CECC4AD12C}"/>
    <cellStyle name="Percentuale 2 4 2 3" xfId="254" xr:uid="{A370D619-1462-484E-974F-F11BE3686AEB}"/>
    <cellStyle name="Percentuale 2 4 2 3 2" xfId="710" xr:uid="{0619EF72-2B9B-42CB-8A8C-0039E0AA1616}"/>
    <cellStyle name="Percentuale 2 4 2 3 2 2" xfId="2168" xr:uid="{65A523FD-08AD-4069-B0DD-4FBE4DE71D81}"/>
    <cellStyle name="Percentuale 2 4 2 3 2 2 2" xfId="4482" xr:uid="{57B7DED6-4878-43D8-B051-F4A77AB86834}"/>
    <cellStyle name="Percentuale 2 4 2 3 2 2 3" xfId="6504" xr:uid="{6FC9B1C6-9998-4249-9DF9-8EB1EBD1FBBD}"/>
    <cellStyle name="Percentuale 2 4 2 3 2 3" xfId="2620" xr:uid="{7A230E70-4450-4BAB-8807-66AFDDABF94E}"/>
    <cellStyle name="Percentuale 2 4 2 3 2 3 2" xfId="4934" xr:uid="{D6AB1F0A-9034-4283-A8CE-D7E4F62BBFEC}"/>
    <cellStyle name="Percentuale 2 4 2 3 2 3 3" xfId="6928" xr:uid="{4E2515CC-1FBA-4567-831C-A6839502126A}"/>
    <cellStyle name="Percentuale 2 4 2 3 2 4" xfId="2995" xr:uid="{9EC7E796-BB26-48E1-83D6-45303B843B42}"/>
    <cellStyle name="Percentuale 2 4 2 3 2 4 2" xfId="5309" xr:uid="{E04540DC-F89C-47DA-9B21-52EA989150DC}"/>
    <cellStyle name="Percentuale 2 4 2 3 2 4 3" xfId="7303" xr:uid="{1652B032-9C4A-4C1E-9508-4385C2407E92}"/>
    <cellStyle name="Percentuale 2 4 2 3 2 5" xfId="1558" xr:uid="{3F3C7C43-FEDA-4F2D-B442-365E2D425710}"/>
    <cellStyle name="Percentuale 2 4 2 3 2 6" xfId="3874" xr:uid="{A192BADD-AE87-4CD7-9180-7A5312AB9ED5}"/>
    <cellStyle name="Percentuale 2 4 2 3 2 7" xfId="5941" xr:uid="{4CE5D073-CD8F-4E92-9E2A-5D26938F9DCA}"/>
    <cellStyle name="Percentuale 2 4 2 3 3" xfId="1753" xr:uid="{FBBA94F6-9E1C-44CC-B89C-6CB90EF64B0B}"/>
    <cellStyle name="Percentuale 2 4 2 3 3 2" xfId="4067" xr:uid="{E07773A3-20AF-4F97-8969-DB9BA54F8994}"/>
    <cellStyle name="Percentuale 2 4 2 3 3 3" xfId="7806" xr:uid="{FE7AB20B-A13D-4675-902A-EB75C5B752D2}"/>
    <cellStyle name="Percentuale 2 4 2 3 4" xfId="893" xr:uid="{8C1D8531-416A-429C-AF04-5F7E9C7F135B}"/>
    <cellStyle name="Percentuale 2 4 2 3 4 2" xfId="3277" xr:uid="{3A28B474-995D-4E01-98BF-05C4CB5E8215}"/>
    <cellStyle name="Percentuale 2 4 2 3 4 3" xfId="6883" xr:uid="{F8B8D521-33E4-419B-AFCF-EA0880BAF2AB}"/>
    <cellStyle name="Percentuale 2 4 2 3 5" xfId="1102" xr:uid="{25EB8416-36D0-4007-A0A5-3B8BE4C1BA14}"/>
    <cellStyle name="Percentuale 2 4 2 3 6" xfId="3456" xr:uid="{28EBCC4D-8827-4166-AFBA-D4E849345C08}"/>
    <cellStyle name="Percentuale 2 4 2 3 7" xfId="5698" xr:uid="{8CEFE5A4-9CD1-4E03-BC1E-EA76EBCDD411}"/>
    <cellStyle name="Percentuale 2 4 2 4" xfId="426" xr:uid="{F3DD580C-1B64-4206-9BE2-DC7F5B1E49C5}"/>
    <cellStyle name="Percentuale 2 4 2 4 2" xfId="1900" xr:uid="{3435B919-7EC3-4EC8-927C-2B0F22685230}"/>
    <cellStyle name="Percentuale 2 4 2 4 2 2" xfId="4214" xr:uid="{C365E067-F733-48B4-B650-975556A1A48A}"/>
    <cellStyle name="Percentuale 2 4 2 4 2 3" xfId="7891" xr:uid="{69213DE7-5544-4DD5-B85E-8439DF257FAA}"/>
    <cellStyle name="Percentuale 2 4 2 4 3" xfId="2357" xr:uid="{35EBAC42-82E9-45BE-B97F-364C8ADA88DF}"/>
    <cellStyle name="Percentuale 2 4 2 4 3 2" xfId="4671" xr:uid="{5DDB6536-4042-43DA-9185-9FD7427C8DC9}"/>
    <cellStyle name="Percentuale 2 4 2 4 3 3" xfId="8173" xr:uid="{55CBF20B-4E0E-4715-8DC8-F75C01A84ED1}"/>
    <cellStyle name="Percentuale 2 4 2 4 4" xfId="1274" xr:uid="{7884936A-0510-4D2C-97F8-535B46F9C340}"/>
    <cellStyle name="Percentuale 2 4 2 4 5" xfId="3602" xr:uid="{2AF2E1A6-11F8-496B-ACC2-552D829820B3}"/>
    <cellStyle name="Percentuale 2 4 2 4 6" xfId="7533" xr:uid="{C42E9437-5CFA-4949-9087-115F676F88A5}"/>
    <cellStyle name="Percentuale 2 4 2 5" xfId="964" xr:uid="{AF0CAC3C-2646-495B-BCB8-9A3A96CFDEE5}"/>
    <cellStyle name="Percentuale 2 4 2 5 2" xfId="3342" xr:uid="{87ACBEE1-3FC6-4529-A097-78F7DE162D03}"/>
    <cellStyle name="Percentuale 2 4 2 5 3" xfId="3381" xr:uid="{92BDFCA7-E0E7-4052-AD4B-D2270FE472BB}"/>
    <cellStyle name="Percentuale 2 4 2 6" xfId="1652" xr:uid="{63DFEBFA-F47B-4864-8EA7-C1B4F16ACB99}"/>
    <cellStyle name="Percentuale 2 4 2 6 2" xfId="3966" xr:uid="{E395AA0A-0EFF-4439-9399-17FF40E502CB}"/>
    <cellStyle name="Percentuale 2 4 2 6 3" xfId="7745" xr:uid="{E3D257A1-8988-4E67-8B7A-99159019D947}"/>
    <cellStyle name="Percentuale 2 4 2 7" xfId="864" xr:uid="{66DF810B-814E-4372-AF36-D88F79A094E0}"/>
    <cellStyle name="Percentuale 2 4 2 8" xfId="3251" xr:uid="{5D91CF6D-0EE5-4640-B0D1-2154D8EE803A}"/>
    <cellStyle name="Percentuale 2 4 2 9" xfId="3347" xr:uid="{9A2C5DC7-8B9D-47E9-9105-B9E686B4C73A}"/>
    <cellStyle name="Percentuale 2 4 3" xfId="150" xr:uid="{499B5DCF-0CBF-482D-A4A8-F54D92101D53}"/>
    <cellStyle name="Percentuale 2 4 3 10" xfId="3643" xr:uid="{005BF265-CD5C-4567-95D0-30529C7EB9DC}"/>
    <cellStyle name="Percentuale 2 4 3 2" xfId="288" xr:uid="{11A2E6A7-5897-4C86-B287-83C31CC40589}"/>
    <cellStyle name="Percentuale 2 4 3 2 2" xfId="656" xr:uid="{52969785-3951-44C1-95D3-1EA96309AF56}"/>
    <cellStyle name="Percentuale 2 4 3 2 2 2" xfId="2114" xr:uid="{2F9E8A4A-E1B5-424E-95BC-646BCE78F7CE}"/>
    <cellStyle name="Percentuale 2 4 3 2 2 2 2" xfId="4428" xr:uid="{26BA50C7-11E9-47B0-98D7-922D7FD192A0}"/>
    <cellStyle name="Percentuale 2 4 3 2 2 2 3" xfId="8023" xr:uid="{F5E899F4-7DF8-4540-A6BE-89F714FA8E36}"/>
    <cellStyle name="Percentuale 2 4 3 2 2 3" xfId="2566" xr:uid="{D1515774-4366-4559-8843-68F92E224F5E}"/>
    <cellStyle name="Percentuale 2 4 3 2 2 3 2" xfId="4880" xr:uid="{2A93459D-54F1-4929-8024-2EEB68D18FD6}"/>
    <cellStyle name="Percentuale 2 4 3 2 2 3 3" xfId="8303" xr:uid="{EA985A13-AB4A-4DEE-BC0B-B42321EB9362}"/>
    <cellStyle name="Percentuale 2 4 3 2 2 4" xfId="1504" xr:uid="{10B6D6DC-3946-4E42-AE6E-E813792B1B88}"/>
    <cellStyle name="Percentuale 2 4 3 2 2 5" xfId="3820" xr:uid="{9C782B3F-E6E8-4DBB-83A8-D257A2BAD691}"/>
    <cellStyle name="Percentuale 2 4 3 2 2 6" xfId="7652" xr:uid="{F2B42932-6683-4BB4-B521-D6DE26C21247}"/>
    <cellStyle name="Percentuale 2 4 3 2 3" xfId="731" xr:uid="{1FCB232F-3AC5-4E7E-909E-742565D35180}"/>
    <cellStyle name="Percentuale 2 4 3 2 3 2" xfId="2189" xr:uid="{366B4BD3-FADC-48CB-9039-E6BFBBE5C9A9}"/>
    <cellStyle name="Percentuale 2 4 3 2 3 2 2" xfId="4503" xr:uid="{0E9D615C-0EC9-405F-95A6-396A59493D6A}"/>
    <cellStyle name="Percentuale 2 4 3 2 3 2 3" xfId="6525" xr:uid="{8D19D202-EDC3-407C-811D-FDE807561B34}"/>
    <cellStyle name="Percentuale 2 4 3 2 3 3" xfId="2641" xr:uid="{651BAB49-3433-42D3-88CF-CCE6DAADFBBE}"/>
    <cellStyle name="Percentuale 2 4 3 2 3 3 2" xfId="4955" xr:uid="{3124A5E7-AF26-4A6F-B8B4-73C71195B1E2}"/>
    <cellStyle name="Percentuale 2 4 3 2 3 3 3" xfId="6949" xr:uid="{C5ECDA69-F513-4CE1-A80F-BA1470019976}"/>
    <cellStyle name="Percentuale 2 4 3 2 3 4" xfId="3016" xr:uid="{6736830B-A2F7-49B4-B1FD-931B5F8E31F9}"/>
    <cellStyle name="Percentuale 2 4 3 2 3 4 2" xfId="5330" xr:uid="{BDD5A8F7-BD24-464A-8986-5A033836B600}"/>
    <cellStyle name="Percentuale 2 4 3 2 3 4 3" xfId="7324" xr:uid="{6182EFC1-78B5-4604-956B-1E86A9CC0FBD}"/>
    <cellStyle name="Percentuale 2 4 3 2 3 5" xfId="1579" xr:uid="{D673CB13-67D0-41FB-8160-8D65591966E6}"/>
    <cellStyle name="Percentuale 2 4 3 2 3 6" xfId="3895" xr:uid="{D47B9DC5-923D-4DA8-9A80-F6E6963CAEC6}"/>
    <cellStyle name="Percentuale 2 4 3 2 3 7" xfId="5962" xr:uid="{E376FF31-D5BB-4780-A4A3-96261AE13B36}"/>
    <cellStyle name="Percentuale 2 4 3 2 4" xfId="533" xr:uid="{B274B24F-C617-447E-8AD0-9ABD97C47F87}"/>
    <cellStyle name="Percentuale 2 4 3 2 4 2" xfId="1992" xr:uid="{6264F4D4-D428-419F-8646-1371D50D9EEA}"/>
    <cellStyle name="Percentuale 2 4 3 2 4 2 2" xfId="4306" xr:uid="{282D2D83-433B-4A32-9EE4-180CF1C82EEA}"/>
    <cellStyle name="Percentuale 2 4 3 2 4 2 3" xfId="6347" xr:uid="{F8B35821-CB2D-4688-AD8B-774E6E2B16E4}"/>
    <cellStyle name="Percentuale 2 4 3 2 4 3" xfId="2443" xr:uid="{90C32878-EE95-42EA-A3FB-54F8B59B8D1C}"/>
    <cellStyle name="Percentuale 2 4 3 2 4 3 2" xfId="4757" xr:uid="{F1CD83F9-6BF1-415C-A73C-688DC969FD2B}"/>
    <cellStyle name="Percentuale 2 4 3 2 4 3 3" xfId="6767" xr:uid="{A360F5D5-B22E-4EE6-BE32-3D9E8945A02E}"/>
    <cellStyle name="Percentuale 2 4 3 2 4 4" xfId="2848" xr:uid="{92CD6131-1ADB-45A8-AFEF-6D09FCBA203D}"/>
    <cellStyle name="Percentuale 2 4 3 2 4 4 2" xfId="5162" xr:uid="{DDC84BD6-4D98-4B97-83BC-6179DF96D35D}"/>
    <cellStyle name="Percentuale 2 4 3 2 4 4 3" xfId="7156" xr:uid="{D027C39B-7D63-45AB-A1A5-2FDD88360C93}"/>
    <cellStyle name="Percentuale 2 4 3 2 4 5" xfId="1381" xr:uid="{AC52F833-B0BB-4923-9DBD-1BA7D37AA3C0}"/>
    <cellStyle name="Percentuale 2 4 3 2 4 6" xfId="3697" xr:uid="{74FEC61F-2478-4284-A0F3-B6F731095222}"/>
    <cellStyle name="Percentuale 2 4 3 2 4 7" xfId="5787" xr:uid="{1A974DA8-B31F-4739-B911-093D395290FB}"/>
    <cellStyle name="Percentuale 2 4 3 2 5" xfId="1781" xr:uid="{2AC6DC91-12CA-4A87-9748-918B43431A28}"/>
    <cellStyle name="Percentuale 2 4 3 2 5 2" xfId="4095" xr:uid="{094AF157-0F11-4000-9186-5F583E468041}"/>
    <cellStyle name="Percentuale 2 4 3 2 5 3" xfId="6144" xr:uid="{BA9C7823-3D44-4F16-ABEE-A3AF15FB0BC2}"/>
    <cellStyle name="Percentuale 2 4 3 2 6" xfId="2241" xr:uid="{3F846737-C44E-46A6-9E52-6B36493E5A06}"/>
    <cellStyle name="Percentuale 2 4 3 2 6 2" xfId="4555" xr:uid="{33CF4F7F-2C99-4A37-BD3E-21BC1AE1BDE1}"/>
    <cellStyle name="Percentuale 2 4 3 2 6 3" xfId="6577" xr:uid="{911817BC-8CDA-40C3-A869-9E64C1B0262D}"/>
    <cellStyle name="Percentuale 2 4 3 2 7" xfId="1136" xr:uid="{0BCC4C37-6773-4EA2-864D-E99D58294627}"/>
    <cellStyle name="Percentuale 2 4 3 2 8" xfId="3486" xr:uid="{F0060697-FC68-4D80-A624-746DD3121D18}"/>
    <cellStyle name="Percentuale 2 4 3 2 9" xfId="5605" xr:uid="{75C5B20A-8293-4619-A94E-FB55E2A7A439}"/>
    <cellStyle name="Percentuale 2 4 3 3" xfId="461" xr:uid="{3ABFC1F4-BC7A-416A-ACA4-25C7C79C9A32}"/>
    <cellStyle name="Percentuale 2 4 3 3 2" xfId="1928" xr:uid="{C7E91DE0-39A5-461F-9342-925FDC9E7DC6}"/>
    <cellStyle name="Percentuale 2 4 3 3 2 2" xfId="4242" xr:uid="{734F5D34-50E0-4EC0-908C-5710E8DFC86C}"/>
    <cellStyle name="Percentuale 2 4 3 3 2 3" xfId="6287" xr:uid="{62BC6CC3-DE83-49D9-8ABB-A6D6CFFB9D70}"/>
    <cellStyle name="Percentuale 2 4 3 3 3" xfId="2383" xr:uid="{FE4AED75-8F59-44BB-9094-4B7A5ED85823}"/>
    <cellStyle name="Percentuale 2 4 3 3 3 2" xfId="4697" xr:uid="{BFA10DD6-3F5C-4664-98E8-E8427B7F04F5}"/>
    <cellStyle name="Percentuale 2 4 3 3 3 3" xfId="6710" xr:uid="{CC9F13AB-6D41-4D8F-89CF-C57474C4D72C}"/>
    <cellStyle name="Percentuale 2 4 3 3 4" xfId="2794" xr:uid="{724C4DC0-0257-47D6-B1A8-98FBBB0CBE2C}"/>
    <cellStyle name="Percentuale 2 4 3 3 4 2" xfId="5108" xr:uid="{4B74118A-B570-41F1-A448-DEE355E93466}"/>
    <cellStyle name="Percentuale 2 4 3 3 4 3" xfId="7102" xr:uid="{5E331676-D4DC-4C84-A00E-356CC7D85057}"/>
    <cellStyle name="Percentuale 2 4 3 3 5" xfId="1309" xr:uid="{C67429DE-C129-451F-A06F-8479F0524509}"/>
    <cellStyle name="Percentuale 2 4 3 3 6" xfId="3633" xr:uid="{806C8B2D-981F-4BC7-ADFA-BA86CB6F1085}"/>
    <cellStyle name="Percentuale 2 4 3 3 7" xfId="5731" xr:uid="{AD19E930-3A27-4CBF-A007-79A785D7C32F}"/>
    <cellStyle name="Percentuale 2 4 3 4" xfId="591" xr:uid="{C4B0928C-69FF-4F62-8E15-40D24B796F39}"/>
    <cellStyle name="Percentuale 2 4 3 4 2" xfId="2049" xr:uid="{4CF1FC8B-AAA0-4F9A-98BF-2CCD974F901D}"/>
    <cellStyle name="Percentuale 2 4 3 4 2 2" xfId="4363" xr:uid="{567B531D-8872-4304-8EEF-08AAFF94576C}"/>
    <cellStyle name="Percentuale 2 4 3 4 2 3" xfId="6404" xr:uid="{8BB107E0-8C4B-47DB-B5B1-D3869C992D5E}"/>
    <cellStyle name="Percentuale 2 4 3 4 3" xfId="2501" xr:uid="{E1C3141C-127B-4C74-AC0B-08779801D520}"/>
    <cellStyle name="Percentuale 2 4 3 4 3 2" xfId="4815" xr:uid="{74477060-2689-42E6-A790-8D55E265BE96}"/>
    <cellStyle name="Percentuale 2 4 3 4 3 3" xfId="6825" xr:uid="{5BD82F5D-2058-4783-B45B-38BE5FA05A6B}"/>
    <cellStyle name="Percentuale 2 4 3 4 4" xfId="2906" xr:uid="{8BA0CCD2-F49F-4410-AC30-B08C4078B15C}"/>
    <cellStyle name="Percentuale 2 4 3 4 4 2" xfId="5220" xr:uid="{A74A9E6B-C241-46F0-9EE9-4A8FFC92B8A1}"/>
    <cellStyle name="Percentuale 2 4 3 4 4 3" xfId="7214" xr:uid="{D1727C27-06AD-4C05-B112-89B619DB1526}"/>
    <cellStyle name="Percentuale 2 4 3 4 5" xfId="1439" xr:uid="{FF2EB039-1425-49B7-AF51-F76E3F9592E3}"/>
    <cellStyle name="Percentuale 2 4 3 4 6" xfId="3755" xr:uid="{5D5F8208-1097-4717-9950-661D2014AC36}"/>
    <cellStyle name="Percentuale 2 4 3 4 7" xfId="5845" xr:uid="{2D06D6DB-5903-42D0-B90F-D9913DC21D62}"/>
    <cellStyle name="Percentuale 2 4 3 5" xfId="355" xr:uid="{75B5D5B8-9731-4A0E-B2C8-70AC2776BBE1}"/>
    <cellStyle name="Percentuale 2 4 3 5 2" xfId="1842" xr:uid="{2D19C558-2B67-4049-AACD-3B90017E2AEE}"/>
    <cellStyle name="Percentuale 2 4 3 5 2 2" xfId="4156" xr:uid="{3AA2821A-2532-4AA7-8AA1-B205BF9A71CC}"/>
    <cellStyle name="Percentuale 2 4 3 5 2 3" xfId="6205" xr:uid="{4AA80502-5BE2-4ADA-BD4F-6241E7223786}"/>
    <cellStyle name="Percentuale 2 4 3 5 3" xfId="2297" xr:uid="{FBC4867C-E9A5-4116-8714-A3F40ACA00FC}"/>
    <cellStyle name="Percentuale 2 4 3 5 3 2" xfId="4611" xr:uid="{E30E6ABD-331B-4369-8EA2-86240E82990E}"/>
    <cellStyle name="Percentuale 2 4 3 5 3 3" xfId="6633" xr:uid="{EC8EA91C-1F06-41F6-96F3-4E03F90993A5}"/>
    <cellStyle name="Percentuale 2 4 3 5 4" xfId="2727" xr:uid="{705CC0C6-11D3-4D79-94BC-2B1B2B77042F}"/>
    <cellStyle name="Percentuale 2 4 3 5 4 2" xfId="5041" xr:uid="{25A7450F-0B7A-4EB9-B6B6-F9B286A20BFD}"/>
    <cellStyle name="Percentuale 2 4 3 5 4 3" xfId="7035" xr:uid="{F001BE45-F3A2-430F-817F-1AE8BC7EE835}"/>
    <cellStyle name="Percentuale 2 4 3 5 5" xfId="1203" xr:uid="{32DD6607-EE1B-4907-94E4-1212B3E25F6E}"/>
    <cellStyle name="Percentuale 2 4 3 5 6" xfId="3541" xr:uid="{588264F0-C069-4104-B4A3-2ED79D44C39A}"/>
    <cellStyle name="Percentuale 2 4 3 5 7" xfId="5661" xr:uid="{41C4DB66-8A0F-417D-872B-387C34E8466B}"/>
    <cellStyle name="Percentuale 2 4 3 6" xfId="1681" xr:uid="{57F49327-9934-481B-AE54-EC8247ED72AE}"/>
    <cellStyle name="Percentuale 2 4 3 6 2" xfId="3995" xr:uid="{EF5EE22F-578D-4A8A-8F4D-5F75D5077173}"/>
    <cellStyle name="Percentuale 2 4 3 6 3" xfId="6051" xr:uid="{EC1E3DC0-0000-45B4-8951-695C33C84834}"/>
    <cellStyle name="Percentuale 2 4 3 7" xfId="1657" xr:uid="{4914E1B0-E3C7-4592-BBB9-2B2B92B6723A}"/>
    <cellStyle name="Percentuale 2 4 3 7 2" xfId="3971" xr:uid="{8837D097-6841-4430-B5DC-8EEA8394317D}"/>
    <cellStyle name="Percentuale 2 4 3 7 3" xfId="6028" xr:uid="{7FF1C419-4EE2-4807-B0F9-0600AD16B11A}"/>
    <cellStyle name="Percentuale 2 4 3 8" xfId="999" xr:uid="{AC379127-5B1C-4950-8348-D93DDC181089}"/>
    <cellStyle name="Percentuale 2 4 3 9" xfId="3370" xr:uid="{24F86DEE-E674-48EF-A1D7-0CB1F9D267FE}"/>
    <cellStyle name="Percentuale 2 4 4" xfId="218" xr:uid="{D128F8B0-F34A-4EF8-8A1A-02C3BF00AA2B}"/>
    <cellStyle name="Percentuale 2 4 4 2" xfId="689" xr:uid="{A50E782D-B295-4190-8115-0F09268EC8A0}"/>
    <cellStyle name="Percentuale 2 4 4 2 2" xfId="2147" xr:uid="{5184E0B1-1FD4-469D-AF4E-DA6ABDEAB0A3}"/>
    <cellStyle name="Percentuale 2 4 4 2 2 2" xfId="4461" xr:uid="{B9F7AFFF-61F7-4E3F-9D4A-C51CBA135CDC}"/>
    <cellStyle name="Percentuale 2 4 4 2 2 3" xfId="6483" xr:uid="{D4E5F07B-56F4-4A96-A8DE-BE43EAEB16C1}"/>
    <cellStyle name="Percentuale 2 4 4 2 3" xfId="2599" xr:uid="{6885FE80-2596-4C31-B447-83C428481196}"/>
    <cellStyle name="Percentuale 2 4 4 2 3 2" xfId="4913" xr:uid="{74CE63C8-0B28-4531-B952-3062CFE3FEFF}"/>
    <cellStyle name="Percentuale 2 4 4 2 3 3" xfId="6907" xr:uid="{121AAAC5-DA35-41C6-AC4D-A29193EE6DFD}"/>
    <cellStyle name="Percentuale 2 4 4 2 4" xfId="2974" xr:uid="{1FCA65D6-3CCC-4F9F-BBA4-58C65A087AF1}"/>
    <cellStyle name="Percentuale 2 4 4 2 4 2" xfId="5288" xr:uid="{FF48F4EE-319D-423F-B29E-787ED683425A}"/>
    <cellStyle name="Percentuale 2 4 4 2 4 3" xfId="7282" xr:uid="{FE6D58E4-5FBA-4F7D-8D88-1B5387C56A29}"/>
    <cellStyle name="Percentuale 2 4 4 2 5" xfId="1537" xr:uid="{A59CEA80-785B-42D2-973B-FCE6214124FA}"/>
    <cellStyle name="Percentuale 2 4 4 2 6" xfId="3853" xr:uid="{6B3C9184-3405-450C-9F6F-03CE66C3BCFC}"/>
    <cellStyle name="Percentuale 2 4 4 2 7" xfId="5920" xr:uid="{CE0A239A-BECA-44CD-AE1D-3E868DF6FEF2}"/>
    <cellStyle name="Percentuale 2 4 4 3" xfId="1724" xr:uid="{004EDE01-A6B6-424D-BBE3-E949F713CC6C}"/>
    <cellStyle name="Percentuale 2 4 4 3 2" xfId="4038" xr:uid="{09978F66-A32A-4775-95A9-7552C9ECC12D}"/>
    <cellStyle name="Percentuale 2 4 4 3 3" xfId="7786" xr:uid="{DEF03F32-6BE9-4789-B5DF-EFFD695084C8}"/>
    <cellStyle name="Percentuale 2 4 4 4" xfId="1665" xr:uid="{872502E7-EABF-448D-8F5E-5615AE967827}"/>
    <cellStyle name="Percentuale 2 4 4 4 2" xfId="3979" xr:uid="{F7E54653-8D22-464F-B763-8B973247E07F}"/>
    <cellStyle name="Percentuale 2 4 4 4 3" xfId="7752" xr:uid="{672C849B-0A99-46BD-99B0-CE8F24967A7E}"/>
    <cellStyle name="Percentuale 2 4 4 5" xfId="1066" xr:uid="{23BD5689-6216-4C09-87A4-EC254296A5F5}"/>
    <cellStyle name="Percentuale 2 4 4 6" xfId="3424" xr:uid="{F8150D04-3822-4F3A-9F4C-8B90FDE4146D}"/>
    <cellStyle name="Percentuale 2 4 4 7" xfId="812" xr:uid="{60415461-05DF-4CF5-B6C3-B4CE2CAB97A5}"/>
    <cellStyle name="Percentuale 2 4 5" xfId="390" xr:uid="{F45A9540-5D7F-43C4-A3FF-FBA8F2DCAA10}"/>
    <cellStyle name="Percentuale 2 4 5 2" xfId="1871" xr:uid="{B89EDD52-A9DE-4CBD-88AB-F5423A52C8B9}"/>
    <cellStyle name="Percentuale 2 4 5 2 2" xfId="4185" xr:uid="{DD4F91BD-4DA6-4594-B2EE-C27444E4F41E}"/>
    <cellStyle name="Percentuale 2 4 5 2 3" xfId="7869" xr:uid="{FE8DA4AA-B2D2-49EC-AE46-B21F85C6AFE1}"/>
    <cellStyle name="Percentuale 2 4 5 3" xfId="2328" xr:uid="{B10C9442-4589-4B0D-8CA4-8CF2492E31F0}"/>
    <cellStyle name="Percentuale 2 4 5 3 2" xfId="4642" xr:uid="{222B0716-CBFC-4680-987B-F28CEBA9F3B3}"/>
    <cellStyle name="Percentuale 2 4 5 3 3" xfId="8152" xr:uid="{88A0CAF6-19C3-4476-998F-B1B4D6689E33}"/>
    <cellStyle name="Percentuale 2 4 5 4" xfId="1238" xr:uid="{D6684AA6-4DE3-4198-AD86-5F7D79186448}"/>
    <cellStyle name="Percentuale 2 4 5 5" xfId="3571" xr:uid="{70922473-BA8C-4F6B-8CFB-59B439409B60}"/>
    <cellStyle name="Percentuale 2 4 5 6" xfId="3931" xr:uid="{C0BA72BA-D952-4EEF-A86B-14C6EDFCF224}"/>
    <cellStyle name="Percentuale 2 4 6" xfId="921" xr:uid="{5568191C-7E87-47DC-8185-85AE9F0DD074}"/>
    <cellStyle name="Percentuale 2 4 6 2" xfId="3303" xr:uid="{11B49FBF-BC82-405A-B4C4-D7A27D263055}"/>
    <cellStyle name="Percentuale 2 4 6 3" xfId="3410" xr:uid="{F6EF7F81-7677-433E-B41F-34D85E9D6FA4}"/>
    <cellStyle name="Percentuale 2 4 7" xfId="824" xr:uid="{B4F4DACE-4394-43F5-BD97-601E98BC3653}"/>
    <cellStyle name="Percentuale 2 4 8" xfId="3220" xr:uid="{4D13E4AD-121D-4580-B484-E7C61D02AA2F}"/>
    <cellStyle name="Percentuale 2 4 9" xfId="3588" xr:uid="{49C80638-1C3D-44FF-A611-5F219723F0F9}"/>
    <cellStyle name="Percentuale 2 5" xfId="70" xr:uid="{373E6377-C65E-42F3-8EF2-12A7056B1554}"/>
    <cellStyle name="Percentuale 2 5 10" xfId="3239" xr:uid="{A8B32B9B-5D7F-4D0C-9687-9EA8ECBD8289}"/>
    <cellStyle name="Percentuale 2 5 2" xfId="124" xr:uid="{86E75D1B-6D0B-4007-A002-37CEFE550D02}"/>
    <cellStyle name="Percentuale 2 5 2 10" xfId="874" xr:uid="{B408E612-6D72-4630-BC88-F439B3D1F8FE}"/>
    <cellStyle name="Percentuale 2 5 2 11" xfId="3259" xr:uid="{C6EBF4F5-888F-49AC-BE9C-3360FD5E3D0A}"/>
    <cellStyle name="Percentuale 2 5 2 12" xfId="3609" xr:uid="{A6A63A0C-119F-43A3-A5CF-B2974AC9172E}"/>
    <cellStyle name="Percentuale 2 5 2 2" xfId="196" xr:uid="{6C91F184-2D57-4341-980E-5582E01EE25D}"/>
    <cellStyle name="Percentuale 2 5 2 2 2" xfId="333" xr:uid="{D85377B4-9704-4428-B00F-182F191AAA82}"/>
    <cellStyle name="Percentuale 2 5 2 2 2 2" xfId="686" xr:uid="{2108497F-98AA-4035-A8CE-A23DE683CD19}"/>
    <cellStyle name="Percentuale 2 5 2 2 2 2 2" xfId="2144" xr:uid="{9AC6BFD5-08B7-41CB-BE2D-5B51D9E11927}"/>
    <cellStyle name="Percentuale 2 5 2 2 2 2 2 2" xfId="4458" xr:uid="{BE875ECC-02F7-47C6-9B52-11DB630790C9}"/>
    <cellStyle name="Percentuale 2 5 2 2 2 2 2 3" xfId="8052" xr:uid="{BFDAC41C-4422-4822-A5D1-4FAF5A633A31}"/>
    <cellStyle name="Percentuale 2 5 2 2 2 2 3" xfId="2596" xr:uid="{3AAE0C11-4B44-44B7-B10D-FA72BB044634}"/>
    <cellStyle name="Percentuale 2 5 2 2 2 2 3 2" xfId="4910" xr:uid="{A77341FA-A149-405A-9B07-381C45DB7779}"/>
    <cellStyle name="Percentuale 2 5 2 2 2 2 3 3" xfId="8332" xr:uid="{5E8562AE-F9E4-479F-ACB6-4C8FACAE8DCE}"/>
    <cellStyle name="Percentuale 2 5 2 2 2 2 4" xfId="1534" xr:uid="{205D7AEC-7D03-4453-AE02-D9374B73D8D3}"/>
    <cellStyle name="Percentuale 2 5 2 2 2 2 5" xfId="3850" xr:uid="{864158F3-DEAF-459D-90F2-0D37A1BA909C}"/>
    <cellStyle name="Percentuale 2 5 2 2 2 2 6" xfId="7681" xr:uid="{B90DFD06-21D6-4A72-A052-6D90F9219536}"/>
    <cellStyle name="Percentuale 2 5 2 2 2 3" xfId="758" xr:uid="{5307ED28-630E-45C3-BA8C-05B17AF00C4C}"/>
    <cellStyle name="Percentuale 2 5 2 2 2 3 2" xfId="2216" xr:uid="{6A7B04FE-0599-467E-81FA-3EBC52CA94CF}"/>
    <cellStyle name="Percentuale 2 5 2 2 2 3 2 2" xfId="4530" xr:uid="{D4BD4502-C4D1-4C60-B7C7-D24CB2823594}"/>
    <cellStyle name="Percentuale 2 5 2 2 2 3 2 3" xfId="6552" xr:uid="{7F7A80B0-C3C8-45B0-B912-2C2A55DB277D}"/>
    <cellStyle name="Percentuale 2 5 2 2 2 3 3" xfId="2668" xr:uid="{416BD4C4-9179-4354-9C3C-57D786BC7244}"/>
    <cellStyle name="Percentuale 2 5 2 2 2 3 3 2" xfId="4982" xr:uid="{C63AB9A2-F438-49CF-BEF9-8FB2F130168E}"/>
    <cellStyle name="Percentuale 2 5 2 2 2 3 3 3" xfId="6976" xr:uid="{FA728D19-A23C-4187-AD6C-876DFE9C1069}"/>
    <cellStyle name="Percentuale 2 5 2 2 2 3 4" xfId="3043" xr:uid="{DCB8F962-A091-4433-89FF-92770030D9E0}"/>
    <cellStyle name="Percentuale 2 5 2 2 2 3 4 2" xfId="5357" xr:uid="{D703A209-47A4-4AD6-8BB3-40F86CFB73A9}"/>
    <cellStyle name="Percentuale 2 5 2 2 2 3 4 3" xfId="7351" xr:uid="{91F586CF-AB4F-40F3-873C-441C6B83D6F7}"/>
    <cellStyle name="Percentuale 2 5 2 2 2 3 5" xfId="1606" xr:uid="{D00078C5-5333-42DF-A20F-2F05CE297568}"/>
    <cellStyle name="Percentuale 2 5 2 2 2 3 6" xfId="3922" xr:uid="{344BE8FC-690D-4E3B-A099-791BB7BE3FBC}"/>
    <cellStyle name="Percentuale 2 5 2 2 2 3 7" xfId="5989" xr:uid="{05EC394D-130A-4132-A743-9B42D8F1B771}"/>
    <cellStyle name="Percentuale 2 5 2 2 2 4" xfId="546" xr:uid="{71C692F1-313B-48A7-B887-E653195483DB}"/>
    <cellStyle name="Percentuale 2 5 2 2 2 4 2" xfId="2005" xr:uid="{2BD2419E-44A9-40B1-B380-BDADCD25DBBA}"/>
    <cellStyle name="Percentuale 2 5 2 2 2 4 2 2" xfId="4319" xr:uid="{5CED89BE-F423-4060-B0C8-05DDE9D0D87C}"/>
    <cellStyle name="Percentuale 2 5 2 2 2 4 2 3" xfId="6360" xr:uid="{48B32768-CE1B-43C2-94FA-2394E086765F}"/>
    <cellStyle name="Percentuale 2 5 2 2 2 4 3" xfId="2456" xr:uid="{99CA6E99-BE55-4257-B69B-ACC10E0FD974}"/>
    <cellStyle name="Percentuale 2 5 2 2 2 4 3 2" xfId="4770" xr:uid="{4ACBE15B-C446-4E64-92CF-D38620E55A4D}"/>
    <cellStyle name="Percentuale 2 5 2 2 2 4 3 3" xfId="6780" xr:uid="{20EC9233-580A-4933-9F20-B14111841A7B}"/>
    <cellStyle name="Percentuale 2 5 2 2 2 4 4" xfId="2861" xr:uid="{DD8EF7B2-92DB-43F9-8871-1E243688393B}"/>
    <cellStyle name="Percentuale 2 5 2 2 2 4 4 2" xfId="5175" xr:uid="{18B62876-50AB-4626-A051-F12A87475C9E}"/>
    <cellStyle name="Percentuale 2 5 2 2 2 4 4 3" xfId="7169" xr:uid="{FB535DDF-E585-4995-BA9C-206B52B19F68}"/>
    <cellStyle name="Percentuale 2 5 2 2 2 4 5" xfId="1394" xr:uid="{52A2E824-9353-444E-A94A-D56F6D05107D}"/>
    <cellStyle name="Percentuale 2 5 2 2 2 4 6" xfId="3710" xr:uid="{6913568C-0D02-4D53-86BE-BC7C5DB43463}"/>
    <cellStyle name="Percentuale 2 5 2 2 2 4 7" xfId="5800" xr:uid="{BCE5C87B-3050-4295-AF12-6293AF47D7A4}"/>
    <cellStyle name="Percentuale 2 5 2 2 2 5" xfId="1820" xr:uid="{1925A05A-C31D-4100-9C45-57C91C2641E9}"/>
    <cellStyle name="Percentuale 2 5 2 2 2 5 2" xfId="4134" xr:uid="{5BA534D6-E003-4AB1-A3B7-C01ECF21F8B9}"/>
    <cellStyle name="Percentuale 2 5 2 2 2 5 3" xfId="6183" xr:uid="{7C4E5517-DA5B-4EA9-B90A-826039C1EC83}"/>
    <cellStyle name="Percentuale 2 5 2 2 2 6" xfId="2275" xr:uid="{E950AB27-BF81-416D-B9E3-699128C4C9FB}"/>
    <cellStyle name="Percentuale 2 5 2 2 2 6 2" xfId="4589" xr:uid="{2C88C4CF-01D6-4520-B470-2519BD3CECEC}"/>
    <cellStyle name="Percentuale 2 5 2 2 2 6 3" xfId="6611" xr:uid="{4D23BFFA-E9D8-4104-A588-CC154C513688}"/>
    <cellStyle name="Percentuale 2 5 2 2 2 7" xfId="1181" xr:uid="{09DEFDBD-0B06-4B5A-80BA-23BD43AE88E8}"/>
    <cellStyle name="Percentuale 2 5 2 2 2 8" xfId="3519" xr:uid="{4A67CE11-5D9A-48F0-AAD3-337DA38FF3AE}"/>
    <cellStyle name="Percentuale 2 5 2 2 2 9" xfId="5639" xr:uid="{1BB9A12A-CCBB-4E41-81F5-90D72B4C7207}"/>
    <cellStyle name="Percentuale 2 5 2 2 3" xfId="507" xr:uid="{7C9AFD6C-E223-45F9-9B12-53EAC64066C4}"/>
    <cellStyle name="Percentuale 2 5 2 2 3 2" xfId="1966" xr:uid="{3B1C861A-E596-498E-B966-77E01DACF2B1}"/>
    <cellStyle name="Percentuale 2 5 2 2 3 2 2" xfId="4280" xr:uid="{464F6F29-CABD-41A1-A59E-39A9EA3FD49A}"/>
    <cellStyle name="Percentuale 2 5 2 2 3 2 3" xfId="7936" xr:uid="{BC04EC2F-7D85-42E5-974A-370CF888C524}"/>
    <cellStyle name="Percentuale 2 5 2 2 3 3" xfId="2417" xr:uid="{E3A6FF4B-C68D-4D3F-92E4-69F17221A6E0}"/>
    <cellStyle name="Percentuale 2 5 2 2 3 3 2" xfId="4731" xr:uid="{0D692484-058C-4F8E-AC8E-7D4B73FCEF59}"/>
    <cellStyle name="Percentuale 2 5 2 2 3 3 3" xfId="8215" xr:uid="{5ACC4941-F6F1-48D2-8B06-0B5CC2AB2833}"/>
    <cellStyle name="Percentuale 2 5 2 2 3 4" xfId="1355" xr:uid="{AC3E2033-AFB3-496D-ABA5-413F6D816E9F}"/>
    <cellStyle name="Percentuale 2 5 2 2 3 5" xfId="3671" xr:uid="{04809737-EEF6-4A95-8A9E-3B45BD5BA7A6}"/>
    <cellStyle name="Percentuale 2 5 2 2 3 6" xfId="7565" xr:uid="{DE2A98EF-E440-448F-B0DF-EA57418F2C69}"/>
    <cellStyle name="Percentuale 2 5 2 2 4" xfId="645" xr:uid="{2FD49D33-8E1A-4971-92CE-D30EFD35FAE5}"/>
    <cellStyle name="Percentuale 2 5 2 2 4 2" xfId="2103" xr:uid="{C3276EE8-8A7A-4295-B86B-868611381AD7}"/>
    <cellStyle name="Percentuale 2 5 2 2 4 2 2" xfId="4417" xr:uid="{16AF2860-2BAA-400A-B5C3-25CC367C3A72}"/>
    <cellStyle name="Percentuale 2 5 2 2 4 2 3" xfId="6451" xr:uid="{9C97B85F-9FA2-4071-B068-FC92B75E3870}"/>
    <cellStyle name="Percentuale 2 5 2 2 4 3" xfId="2555" xr:uid="{5C7EA682-9CB9-46E1-A45C-AD0D51D9E127}"/>
    <cellStyle name="Percentuale 2 5 2 2 4 3 2" xfId="4869" xr:uid="{C8923705-CD97-4A40-A202-AC8B8A334D5D}"/>
    <cellStyle name="Percentuale 2 5 2 2 4 3 3" xfId="6871" xr:uid="{AA2E0587-DDD4-4EA3-8A26-99C22C44C56A}"/>
    <cellStyle name="Percentuale 2 5 2 2 4 4" xfId="2948" xr:uid="{F112514E-E506-415E-8DD1-2D6E2F3DAA33}"/>
    <cellStyle name="Percentuale 2 5 2 2 4 4 2" xfId="5262" xr:uid="{1A663AB7-1F5D-4A74-8FB7-B2DFF56CF9CF}"/>
    <cellStyle name="Percentuale 2 5 2 2 4 4 3" xfId="7256" xr:uid="{5FE2B71C-DA77-4B3F-A5A3-BC36D6519CF8}"/>
    <cellStyle name="Percentuale 2 5 2 2 4 5" xfId="1493" xr:uid="{0D869B54-6121-43B6-A88B-49047EFA61ED}"/>
    <cellStyle name="Percentuale 2 5 2 2 4 6" xfId="3809" xr:uid="{61326F19-D979-4C9B-ABC4-45FA03637214}"/>
    <cellStyle name="Percentuale 2 5 2 2 4 7" xfId="5890" xr:uid="{D047FA2A-13CB-475C-8F8D-B3251A259B44}"/>
    <cellStyle name="Percentuale 2 5 2 2 5" xfId="1819" xr:uid="{B8302CA8-D060-4495-ABCA-2567F2DFC412}"/>
    <cellStyle name="Percentuale 2 5 2 2 5 2" xfId="4133" xr:uid="{E5E62DA5-10D4-416C-9CD6-ED3097E59AE5}"/>
    <cellStyle name="Percentuale 2 5 2 2 5 3" xfId="6182" xr:uid="{2C879420-681A-4346-A819-4F51A309E513}"/>
    <cellStyle name="Percentuale 2 5 2 2 6" xfId="1044" xr:uid="{2B8EA951-6262-4204-B3AD-E09D34F998C6}"/>
    <cellStyle name="Percentuale 2 5 2 2 7" xfId="3405" xr:uid="{461815E2-4106-48BF-9EF6-556B5F1DD026}"/>
    <cellStyle name="Percentuale 2 5 2 2 8" xfId="5620" xr:uid="{0718F5F7-DE92-45A5-B5A0-CB9B4B310973}"/>
    <cellStyle name="Percentuale 2 5 2 3" xfId="264" xr:uid="{1BEEBCEB-9522-4B62-A39B-75E5E988E6AE}"/>
    <cellStyle name="Percentuale 2 5 2 3 2" xfId="638" xr:uid="{15EAFB21-666A-423A-98A1-9488F69D1188}"/>
    <cellStyle name="Percentuale 2 5 2 3 2 2" xfId="2096" xr:uid="{8C0BC8E0-71AA-40CA-8338-1BEADD8E43DF}"/>
    <cellStyle name="Percentuale 2 5 2 3 2 2 2" xfId="4410" xr:uid="{BFB0CC3D-180B-4AE7-AC49-6FEC1C57E544}"/>
    <cellStyle name="Percentuale 2 5 2 3 2 2 3" xfId="8007" xr:uid="{5440365F-41B0-466F-8E7B-6FA604650FE5}"/>
    <cellStyle name="Percentuale 2 5 2 3 2 3" xfId="2548" xr:uid="{E039C705-3FFD-441C-A42D-48D4CD054D34}"/>
    <cellStyle name="Percentuale 2 5 2 3 2 3 2" xfId="4862" xr:uid="{7C8B9609-2C57-4AD1-B16E-5FE994FBF4FD}"/>
    <cellStyle name="Percentuale 2 5 2 3 2 3 3" xfId="8287" xr:uid="{262A4FF1-CC89-4D9F-A884-3B0F7BF394EF}"/>
    <cellStyle name="Percentuale 2 5 2 3 2 4" xfId="1486" xr:uid="{7B6533C5-ED55-40C1-B9E6-5200BA4D742F}"/>
    <cellStyle name="Percentuale 2 5 2 3 2 5" xfId="3802" xr:uid="{8A68A15A-E88D-4F2F-90C5-5F7214041C30}"/>
    <cellStyle name="Percentuale 2 5 2 3 2 6" xfId="7636" xr:uid="{EA849818-2C2D-416E-978B-102CCBD51B60}"/>
    <cellStyle name="Percentuale 2 5 2 3 3" xfId="716" xr:uid="{48AF352D-66DD-42DC-9EF2-F760368582A7}"/>
    <cellStyle name="Percentuale 2 5 2 3 3 2" xfId="2174" xr:uid="{69E48A45-7F37-4039-B786-1ADF5043E798}"/>
    <cellStyle name="Percentuale 2 5 2 3 3 2 2" xfId="4488" xr:uid="{37F582AA-D5B9-4695-9A4E-59F0B888071C}"/>
    <cellStyle name="Percentuale 2 5 2 3 3 2 3" xfId="6510" xr:uid="{43295F92-3922-4B00-A058-5B9DE551A577}"/>
    <cellStyle name="Percentuale 2 5 2 3 3 3" xfId="2626" xr:uid="{FF7FF4A9-947E-46FF-A3DC-38960DA65941}"/>
    <cellStyle name="Percentuale 2 5 2 3 3 3 2" xfId="4940" xr:uid="{B939223B-CF52-4723-96BD-478F034D4610}"/>
    <cellStyle name="Percentuale 2 5 2 3 3 3 3" xfId="6934" xr:uid="{76A5E748-C780-4716-9A90-7080CCE68EF9}"/>
    <cellStyle name="Percentuale 2 5 2 3 3 4" xfId="3001" xr:uid="{F4CD20A3-CFC1-429F-8857-A3FBA6601595}"/>
    <cellStyle name="Percentuale 2 5 2 3 3 4 2" xfId="5315" xr:uid="{DE87FB3E-8173-43D2-AC94-441C4E69F4D0}"/>
    <cellStyle name="Percentuale 2 5 2 3 3 4 3" xfId="7309" xr:uid="{261D1E01-79D2-49EE-97BD-628E7B8F5F91}"/>
    <cellStyle name="Percentuale 2 5 2 3 3 5" xfId="1564" xr:uid="{428EF092-0DCD-41D1-AF3E-A9FD29C89059}"/>
    <cellStyle name="Percentuale 2 5 2 3 3 6" xfId="3880" xr:uid="{4777F2BA-F011-4A43-BAFE-F7DE3E02E786}"/>
    <cellStyle name="Percentuale 2 5 2 3 3 7" xfId="5947" xr:uid="{51C1A8AB-90C7-4A15-8799-81B99B3448E6}"/>
    <cellStyle name="Percentuale 2 5 2 3 4" xfId="524" xr:uid="{9AA99031-F181-4BF6-890C-9BEF3AFC61D7}"/>
    <cellStyle name="Percentuale 2 5 2 3 4 2" xfId="1983" xr:uid="{1C839A25-0162-4A82-9BEC-28CA0437198C}"/>
    <cellStyle name="Percentuale 2 5 2 3 4 2 2" xfId="4297" xr:uid="{1A23076C-26F3-4EAF-A6A2-0F1A671B0FF7}"/>
    <cellStyle name="Percentuale 2 5 2 3 4 2 3" xfId="6338" xr:uid="{CE43EC0B-23C1-4873-8E3F-129307692F03}"/>
    <cellStyle name="Percentuale 2 5 2 3 4 3" xfId="2434" xr:uid="{224A4E91-DBB9-48E0-B7AD-7A2B4A06C229}"/>
    <cellStyle name="Percentuale 2 5 2 3 4 3 2" xfId="4748" xr:uid="{0DB11E1A-57D4-49A1-B5B2-115D77BCBB74}"/>
    <cellStyle name="Percentuale 2 5 2 3 4 3 3" xfId="6758" xr:uid="{EFFAC168-A15A-4769-A5B3-FC9C6614DBA9}"/>
    <cellStyle name="Percentuale 2 5 2 3 4 4" xfId="2839" xr:uid="{F36FF111-7C45-4A38-B117-11936CB3210C}"/>
    <cellStyle name="Percentuale 2 5 2 3 4 4 2" xfId="5153" xr:uid="{A9885B12-893E-480E-A567-9C3E92760A8A}"/>
    <cellStyle name="Percentuale 2 5 2 3 4 4 3" xfId="7147" xr:uid="{3968390F-AE65-47A9-85D9-95D328C7A1EA}"/>
    <cellStyle name="Percentuale 2 5 2 3 4 5" xfId="1372" xr:uid="{504C94EE-BCEA-4F29-B176-0D1056932162}"/>
    <cellStyle name="Percentuale 2 5 2 3 4 6" xfId="3688" xr:uid="{5DBB3B6A-9345-469F-896B-09632596F275}"/>
    <cellStyle name="Percentuale 2 5 2 3 4 7" xfId="5778" xr:uid="{06A3DDD0-0564-4A17-B1B1-CE17E444D8E6}"/>
    <cellStyle name="Percentuale 2 5 2 3 5" xfId="1761" xr:uid="{FEC383D0-72CA-4D7F-9875-6A16AF30E4C0}"/>
    <cellStyle name="Percentuale 2 5 2 3 5 2" xfId="4075" xr:uid="{BD8F070F-55E8-4E55-BFFE-2A00933E092A}"/>
    <cellStyle name="Percentuale 2 5 2 3 5 3" xfId="6125" xr:uid="{5D5B0722-4311-4D27-B33E-7C13676EAEEE}"/>
    <cellStyle name="Percentuale 2 5 2 3 6" xfId="885" xr:uid="{6F99BFF8-A28E-4D95-B517-9EBB58CC2A2A}"/>
    <cellStyle name="Percentuale 2 5 2 3 6 2" xfId="3269" xr:uid="{1777567D-8026-4CA4-98ED-BCCF04340848}"/>
    <cellStyle name="Percentuale 2 5 2 3 6 3" xfId="3389" xr:uid="{CFE292DE-E592-4639-9F09-C224323BC8DA}"/>
    <cellStyle name="Percentuale 2 5 2 3 7" xfId="1112" xr:uid="{AFD5E863-345A-4BB9-8E34-9FF2599ED60D}"/>
    <cellStyle name="Percentuale 2 5 2 3 8" xfId="3464" xr:uid="{4794830D-197A-4D37-AF8E-2B748CB6BD72}"/>
    <cellStyle name="Percentuale 2 5 2 3 9" xfId="5587" xr:uid="{B04309AF-FEB1-4753-B941-F57D189E4AB6}"/>
    <cellStyle name="Percentuale 2 5 2 4" xfId="436" xr:uid="{F4E2A244-69C9-42E5-8CA4-4D14236BD712}"/>
    <cellStyle name="Percentuale 2 5 2 4 2" xfId="1908" xr:uid="{9DF4CA6E-DA84-414A-BADD-7942771E47F9}"/>
    <cellStyle name="Percentuale 2 5 2 4 2 2" xfId="4222" xr:uid="{215AEE49-6A23-49CB-B885-6B8C69B762A6}"/>
    <cellStyle name="Percentuale 2 5 2 4 2 3" xfId="6267" xr:uid="{FD6E38AC-657B-48EC-AF9D-DA35A0D06752}"/>
    <cellStyle name="Percentuale 2 5 2 4 3" xfId="2364" xr:uid="{3651B82C-FD85-4175-9C1C-1EED673E7184}"/>
    <cellStyle name="Percentuale 2 5 2 4 3 2" xfId="4678" xr:uid="{FA038843-703C-4DFF-A2F5-4C36E46ED5DE}"/>
    <cellStyle name="Percentuale 2 5 2 4 3 3" xfId="6691" xr:uid="{B6F0E97B-6A43-4332-8A65-B1622728E2D5}"/>
    <cellStyle name="Percentuale 2 5 2 4 4" xfId="2776" xr:uid="{DA3B1092-FA47-48C1-9C7A-AC6D8FD226B2}"/>
    <cellStyle name="Percentuale 2 5 2 4 4 2" xfId="5090" xr:uid="{77916E47-3109-4004-B10C-5FD16BFC020F}"/>
    <cellStyle name="Percentuale 2 5 2 4 4 3" xfId="7084" xr:uid="{38F8FFE1-0598-4278-BB98-64BD9A1ABCF9}"/>
    <cellStyle name="Percentuale 2 5 2 4 5" xfId="1284" xr:uid="{DFE3DBAD-95F0-461B-9F6A-30C84EC99A99}"/>
    <cellStyle name="Percentuale 2 5 2 4 6" xfId="3610" xr:uid="{56695441-7BBA-4C18-B78B-83B077BC58DB}"/>
    <cellStyle name="Percentuale 2 5 2 4 7" xfId="5712" xr:uid="{511249FC-E86B-4180-854A-42B3BD33AA13}"/>
    <cellStyle name="Percentuale 2 5 2 5" xfId="575" xr:uid="{746904B8-D61F-4922-B82F-416A6343EB72}"/>
    <cellStyle name="Percentuale 2 5 2 5 2" xfId="2033" xr:uid="{A0727AAC-E0CC-429E-AFBE-DAA4EAFF1472}"/>
    <cellStyle name="Percentuale 2 5 2 5 2 2" xfId="4347" xr:uid="{EE54E9BE-A4F0-45B0-AB35-B573D98CDAA7}"/>
    <cellStyle name="Percentuale 2 5 2 5 2 3" xfId="6388" xr:uid="{1192DF84-15F3-4613-ADB2-F13B61E51A90}"/>
    <cellStyle name="Percentuale 2 5 2 5 3" xfId="2485" xr:uid="{E80E1F02-9BCD-4ACA-9653-1B50E0852052}"/>
    <cellStyle name="Percentuale 2 5 2 5 3 2" xfId="4799" xr:uid="{6A44E90C-C1A4-4E50-90A3-C8015EB9C427}"/>
    <cellStyle name="Percentuale 2 5 2 5 3 3" xfId="6809" xr:uid="{0F2F9C19-3C77-4B39-A34B-5DABCFD944F8}"/>
    <cellStyle name="Percentuale 2 5 2 5 4" xfId="2890" xr:uid="{31B7C9FF-D51C-45D9-BA6C-CA4F1375AA65}"/>
    <cellStyle name="Percentuale 2 5 2 5 4 2" xfId="5204" xr:uid="{561F68CE-F1B9-4BF0-A88B-702B7B4FB35C}"/>
    <cellStyle name="Percentuale 2 5 2 5 4 3" xfId="7198" xr:uid="{ACF9D540-76A3-4004-B646-C417CF4A1DCF}"/>
    <cellStyle name="Percentuale 2 5 2 5 5" xfId="1423" xr:uid="{EA6571A3-A0CF-49FB-AC16-4E8BA2E9CB5F}"/>
    <cellStyle name="Percentuale 2 5 2 5 6" xfId="3739" xr:uid="{4D06FA00-970E-4E6E-9AA4-7DAD01EFA262}"/>
    <cellStyle name="Percentuale 2 5 2 5 7" xfId="5829" xr:uid="{9B55C3A2-4641-4F80-9FC5-F3B3A29827BF}"/>
    <cellStyle name="Percentuale 2 5 2 6" xfId="346" xr:uid="{218DC47A-DC8C-457D-AAE4-979191C31918}"/>
    <cellStyle name="Percentuale 2 5 2 6 2" xfId="1833" xr:uid="{CFD80394-1193-4C8E-AB4E-1238AECB47A8}"/>
    <cellStyle name="Percentuale 2 5 2 6 2 2" xfId="4147" xr:uid="{22F4EEA0-BF85-4F6D-BAB9-CD479058CA12}"/>
    <cellStyle name="Percentuale 2 5 2 6 2 3" xfId="6196" xr:uid="{98D33E18-6DAB-448A-BB3D-89316A972D69}"/>
    <cellStyle name="Percentuale 2 5 2 6 3" xfId="2288" xr:uid="{7E093238-865C-47CE-B853-7FFD80EA4BBD}"/>
    <cellStyle name="Percentuale 2 5 2 6 3 2" xfId="4602" xr:uid="{BFD10EBC-9650-4003-87D7-5BDE895C3A56}"/>
    <cellStyle name="Percentuale 2 5 2 6 3 3" xfId="6624" xr:uid="{F14BD444-3C16-4378-B53E-CEF0E517AAD5}"/>
    <cellStyle name="Percentuale 2 5 2 6 4" xfId="2718" xr:uid="{592A26DF-CBFD-4722-BC11-20A7B2576A64}"/>
    <cellStyle name="Percentuale 2 5 2 6 4 2" xfId="5032" xr:uid="{DEE4E817-E7A2-4C5A-A80A-FBDE82FB9183}"/>
    <cellStyle name="Percentuale 2 5 2 6 4 3" xfId="7026" xr:uid="{03CB1FDA-D180-410A-9408-B86B8CCAE49F}"/>
    <cellStyle name="Percentuale 2 5 2 6 5" xfId="1194" xr:uid="{DC5478BA-9761-4B3D-94CE-4450C897D9F5}"/>
    <cellStyle name="Percentuale 2 5 2 6 6" xfId="3532" xr:uid="{5764B0E1-2AF1-464F-BAB7-65AE34E64CBF}"/>
    <cellStyle name="Percentuale 2 5 2 6 7" xfId="5652" xr:uid="{CAA0D96B-0BFE-470A-909A-B3108BDF6032}"/>
    <cellStyle name="Percentuale 2 5 2 7" xfId="974" xr:uid="{DCB54E0E-B476-4B8D-9372-FE267C38B17E}"/>
    <cellStyle name="Percentuale 2 5 2 7 2" xfId="3349" xr:uid="{428DD6C1-72BC-4371-9235-A6B29187ED34}"/>
    <cellStyle name="Percentuale 2 5 2 7 3" xfId="3619" xr:uid="{9FAD0908-290C-4978-8D5B-CCD47770230A}"/>
    <cellStyle name="Percentuale 2 5 2 7 4" xfId="5886" xr:uid="{EFE8824B-830B-42E8-8E8E-389BB5C1B83B}"/>
    <cellStyle name="Percentuale 2 5 2 8" xfId="1659" xr:uid="{26C21E0E-EF2C-4B43-BD86-BC6BC7E6F01C}"/>
    <cellStyle name="Percentuale 2 5 2 8 2" xfId="3973" xr:uid="{38B31806-B0CB-465E-8C69-1DBDDC5FF343}"/>
    <cellStyle name="Percentuale 2 5 2 8 3" xfId="6030" xr:uid="{2D8D014B-15BA-4441-9815-907B31B076E5}"/>
    <cellStyle name="Percentuale 2 5 2 9" xfId="1733" xr:uid="{2668C216-441F-44BA-AF92-643D9B2DD478}"/>
    <cellStyle name="Percentuale 2 5 2 9 2" xfId="4047" xr:uid="{95D6606E-6D5D-445D-9112-5B24CD6EEC0E}"/>
    <cellStyle name="Percentuale 2 5 2 9 3" xfId="6099" xr:uid="{8B49FC71-E0F6-4B12-955F-E83AF78D4419}"/>
    <cellStyle name="Percentuale 2 5 3" xfId="154" xr:uid="{E608E73C-2E7E-45D1-9F73-C52F8C94B781}"/>
    <cellStyle name="Percentuale 2 5 3 10" xfId="819" xr:uid="{D466CEC7-9FED-463D-94F1-AB933C1F18FE}"/>
    <cellStyle name="Percentuale 2 5 3 2" xfId="291" xr:uid="{B14ABCB2-535E-4A52-9DDF-62EA18AF10BC}"/>
    <cellStyle name="Percentuale 2 5 3 2 2" xfId="659" xr:uid="{799D6B74-2EEE-4411-B3DE-C1A6B6CEB457}"/>
    <cellStyle name="Percentuale 2 5 3 2 2 2" xfId="2117" xr:uid="{454A0D66-A8AE-44FD-8E96-99787C1D604F}"/>
    <cellStyle name="Percentuale 2 5 3 2 2 2 2" xfId="4431" xr:uid="{1F1709B0-A72A-4EF1-A718-D8E6074DA57E}"/>
    <cellStyle name="Percentuale 2 5 3 2 2 2 3" xfId="8026" xr:uid="{E7487510-DDEC-4742-91C3-8457AAB056C3}"/>
    <cellStyle name="Percentuale 2 5 3 2 2 3" xfId="2569" xr:uid="{ACEE0D2A-7412-4D87-A933-A9539D3D5053}"/>
    <cellStyle name="Percentuale 2 5 3 2 2 3 2" xfId="4883" xr:uid="{41CDC996-2055-47CF-8305-DF92B5CF3A1D}"/>
    <cellStyle name="Percentuale 2 5 3 2 2 3 3" xfId="8306" xr:uid="{ABF38237-A2AF-4C36-A3EE-BD5C9F4A18E8}"/>
    <cellStyle name="Percentuale 2 5 3 2 2 4" xfId="1507" xr:uid="{3DC26958-0E62-40B1-90C1-450DDEF16C56}"/>
    <cellStyle name="Percentuale 2 5 3 2 2 5" xfId="3823" xr:uid="{E1BD58C0-8376-4D83-91B6-B57BAB05FD55}"/>
    <cellStyle name="Percentuale 2 5 3 2 2 6" xfId="7655" xr:uid="{E4255587-049A-4AE2-9365-A4400E235865}"/>
    <cellStyle name="Percentuale 2 5 3 2 3" xfId="734" xr:uid="{7CA37D12-FB8C-44C4-8567-E86234833382}"/>
    <cellStyle name="Percentuale 2 5 3 2 3 2" xfId="2192" xr:uid="{742C8BD2-729F-4B02-A7B2-637045655BBA}"/>
    <cellStyle name="Percentuale 2 5 3 2 3 2 2" xfId="4506" xr:uid="{6E44E892-642C-4B0A-AC1C-D318B48FE5C9}"/>
    <cellStyle name="Percentuale 2 5 3 2 3 2 3" xfId="6528" xr:uid="{215B0A14-8BC0-41D6-ACC8-8DEFC2A407BE}"/>
    <cellStyle name="Percentuale 2 5 3 2 3 3" xfId="2644" xr:uid="{8DA9C691-9051-461A-BC02-3EFBEC244DDA}"/>
    <cellStyle name="Percentuale 2 5 3 2 3 3 2" xfId="4958" xr:uid="{23E25ACB-E450-453E-817A-EB804693169F}"/>
    <cellStyle name="Percentuale 2 5 3 2 3 3 3" xfId="6952" xr:uid="{3BAD9168-0CA8-402C-8530-E405B77B1421}"/>
    <cellStyle name="Percentuale 2 5 3 2 3 4" xfId="3019" xr:uid="{F30E7CD4-681B-4563-BDE9-55AEFF8CF765}"/>
    <cellStyle name="Percentuale 2 5 3 2 3 4 2" xfId="5333" xr:uid="{0F7CC407-82C3-4FEF-9074-8947935B1001}"/>
    <cellStyle name="Percentuale 2 5 3 2 3 4 3" xfId="7327" xr:uid="{2494509C-5FEF-4A97-AADA-8D4259A98CFB}"/>
    <cellStyle name="Percentuale 2 5 3 2 3 5" xfId="1582" xr:uid="{BA48DE61-D004-46F7-BE6D-3E679842E6A4}"/>
    <cellStyle name="Percentuale 2 5 3 2 3 6" xfId="3898" xr:uid="{D51D2B7A-51F3-47E6-ABCF-0280A69D66ED}"/>
    <cellStyle name="Percentuale 2 5 3 2 3 7" xfId="5965" xr:uid="{DB88826D-A7AF-4571-B1C7-BCDE1382AE4C}"/>
    <cellStyle name="Percentuale 2 5 3 2 4" xfId="535" xr:uid="{C4EEEE43-C932-4CD5-8D4D-6763F593032A}"/>
    <cellStyle name="Percentuale 2 5 3 2 4 2" xfId="1994" xr:uid="{BBCBB01F-B5AE-4860-A9CF-4F68D4D82103}"/>
    <cellStyle name="Percentuale 2 5 3 2 4 2 2" xfId="4308" xr:uid="{623CBE75-76AD-4148-830A-2CA110586251}"/>
    <cellStyle name="Percentuale 2 5 3 2 4 2 3" xfId="6349" xr:uid="{1F5FD119-F3DF-4DE8-B2F6-0483D288D3C2}"/>
    <cellStyle name="Percentuale 2 5 3 2 4 3" xfId="2445" xr:uid="{51E7F3E2-D3A6-450B-A366-00FC64D3F388}"/>
    <cellStyle name="Percentuale 2 5 3 2 4 3 2" xfId="4759" xr:uid="{C48A3C3A-EBF9-447E-9321-89F1809DF915}"/>
    <cellStyle name="Percentuale 2 5 3 2 4 3 3" xfId="6769" xr:uid="{B12B9703-6587-4234-AC96-017386AA081F}"/>
    <cellStyle name="Percentuale 2 5 3 2 4 4" xfId="2850" xr:uid="{0561886A-8481-42EF-B731-AC9109C28816}"/>
    <cellStyle name="Percentuale 2 5 3 2 4 4 2" xfId="5164" xr:uid="{0991C45B-3C7F-4837-8A08-7573711551B7}"/>
    <cellStyle name="Percentuale 2 5 3 2 4 4 3" xfId="7158" xr:uid="{F89C2974-D1F0-41F7-BBDB-94939EFAE3E3}"/>
    <cellStyle name="Percentuale 2 5 3 2 4 5" xfId="1383" xr:uid="{A49998F7-A0B0-4322-8326-12B1425086C3}"/>
    <cellStyle name="Percentuale 2 5 3 2 4 6" xfId="3699" xr:uid="{E9152E78-95E2-409E-B4DF-CC633112AEE2}"/>
    <cellStyle name="Percentuale 2 5 3 2 4 7" xfId="5789" xr:uid="{00EB731C-472B-4961-9B7D-CEB12709FE5D}"/>
    <cellStyle name="Percentuale 2 5 3 2 5" xfId="1784" xr:uid="{8215486D-616F-417E-A452-2266A67FF02C}"/>
    <cellStyle name="Percentuale 2 5 3 2 5 2" xfId="4098" xr:uid="{B384B62C-077D-4BDE-8F43-C3DB9DF83F8E}"/>
    <cellStyle name="Percentuale 2 5 3 2 5 3" xfId="6147" xr:uid="{6483AACF-DD0E-457D-95E3-CB61A4E7B1A2}"/>
    <cellStyle name="Percentuale 2 5 3 2 6" xfId="2244" xr:uid="{E8E73FC2-FB01-44E9-AEF7-096EF747BBED}"/>
    <cellStyle name="Percentuale 2 5 3 2 6 2" xfId="4558" xr:uid="{FF419822-8500-4AC5-8F72-E62B13ED935C}"/>
    <cellStyle name="Percentuale 2 5 3 2 6 3" xfId="6580" xr:uid="{7AF37B1C-3B4F-4CE5-B049-9118BE8D7C14}"/>
    <cellStyle name="Percentuale 2 5 3 2 7" xfId="1139" xr:uid="{3D77DC24-E340-485D-B5EA-1C1E3D192AF1}"/>
    <cellStyle name="Percentuale 2 5 3 2 8" xfId="3489" xr:uid="{A7F84B66-0DFA-45DD-940A-D57C828E650D}"/>
    <cellStyle name="Percentuale 2 5 3 2 9" xfId="5608" xr:uid="{A1BED752-6BFA-430B-AE33-2DE1443D8354}"/>
    <cellStyle name="Percentuale 2 5 3 3" xfId="465" xr:uid="{CED68E97-2175-41E4-BAC1-457AA00D6BBC}"/>
    <cellStyle name="Percentuale 2 5 3 3 2" xfId="1932" xr:uid="{A613BB59-561B-4FF6-9137-23724A54A9BA}"/>
    <cellStyle name="Percentuale 2 5 3 3 2 2" xfId="4246" xr:uid="{7A3DB565-A4C6-4CD1-8A70-60B8694CBE9A}"/>
    <cellStyle name="Percentuale 2 5 3 3 2 3" xfId="6291" xr:uid="{9B0C78C4-C616-4A08-A7EF-9DAA92D7DB09}"/>
    <cellStyle name="Percentuale 2 5 3 3 3" xfId="2387" xr:uid="{507B3624-7324-4009-A7D6-F40C0D1A0D1B}"/>
    <cellStyle name="Percentuale 2 5 3 3 3 2" xfId="4701" xr:uid="{ADD445BD-B59B-4E74-905D-C2B7B18D8409}"/>
    <cellStyle name="Percentuale 2 5 3 3 3 3" xfId="6714" xr:uid="{A59D3619-3FE3-4E3D-9A90-701D60EC946F}"/>
    <cellStyle name="Percentuale 2 5 3 3 4" xfId="2798" xr:uid="{DB66F10E-8FCB-4B60-969E-7FC4BC6A71B6}"/>
    <cellStyle name="Percentuale 2 5 3 3 4 2" xfId="5112" xr:uid="{6D33702D-8F46-4707-95E9-AB79A610E95D}"/>
    <cellStyle name="Percentuale 2 5 3 3 4 3" xfId="7106" xr:uid="{A92D78B4-B39A-40E5-B525-C301B415CDF1}"/>
    <cellStyle name="Percentuale 2 5 3 3 5" xfId="1313" xr:uid="{736C7493-16FF-4CC4-BE1F-9428EE7FBBD7}"/>
    <cellStyle name="Percentuale 2 5 3 3 6" xfId="3637" xr:uid="{C57E5007-EB22-423C-B8CA-418BDB8DDA62}"/>
    <cellStyle name="Percentuale 2 5 3 3 7" xfId="5735" xr:uid="{76312E71-7030-4357-B09F-D4662164E680}"/>
    <cellStyle name="Percentuale 2 5 3 4" xfId="594" xr:uid="{B6AB8B66-AFFC-4A7E-9EA1-4993550E9792}"/>
    <cellStyle name="Percentuale 2 5 3 4 2" xfId="2052" xr:uid="{35FCBA54-0AA4-4C1C-BEDC-4E2C0BD7EF89}"/>
    <cellStyle name="Percentuale 2 5 3 4 2 2" xfId="4366" xr:uid="{AFD7AAF0-B596-4014-AB87-FE38CD59A80B}"/>
    <cellStyle name="Percentuale 2 5 3 4 2 3" xfId="6407" xr:uid="{884D48C1-CF3E-416F-ADD4-AE8C4C65427E}"/>
    <cellStyle name="Percentuale 2 5 3 4 3" xfId="2504" xr:uid="{9C058948-454F-4EC3-828E-FD6231EB1D01}"/>
    <cellStyle name="Percentuale 2 5 3 4 3 2" xfId="4818" xr:uid="{1D88551C-6B9F-48A0-8DA8-0066EAA9EA6F}"/>
    <cellStyle name="Percentuale 2 5 3 4 3 3" xfId="6828" xr:uid="{A32F2555-9FCC-44B9-B754-68021A7690E1}"/>
    <cellStyle name="Percentuale 2 5 3 4 4" xfId="2909" xr:uid="{39FFC019-31CA-4F5F-9478-3BCA3B3045BD}"/>
    <cellStyle name="Percentuale 2 5 3 4 4 2" xfId="5223" xr:uid="{3D72A539-AC87-42EE-8BCF-E1CADACC57E6}"/>
    <cellStyle name="Percentuale 2 5 3 4 4 3" xfId="7217" xr:uid="{156C34CF-4247-4D04-ACDF-2B5D316E7381}"/>
    <cellStyle name="Percentuale 2 5 3 4 5" xfId="1442" xr:uid="{476DD42E-31C7-49F8-B46F-2F4BABAEC825}"/>
    <cellStyle name="Percentuale 2 5 3 4 6" xfId="3758" xr:uid="{A8923CD0-C6FF-40A3-80D3-7788EF7CEFB4}"/>
    <cellStyle name="Percentuale 2 5 3 4 7" xfId="5848" xr:uid="{48E7455C-76CD-458D-A9DC-5F326828861D}"/>
    <cellStyle name="Percentuale 2 5 3 5" xfId="357" xr:uid="{5976EFE7-F636-4A74-9E35-4E3CF3D7645B}"/>
    <cellStyle name="Percentuale 2 5 3 5 2" xfId="1844" xr:uid="{478423B6-C374-48E0-9F43-9271BE620606}"/>
    <cellStyle name="Percentuale 2 5 3 5 2 2" xfId="4158" xr:uid="{C0D38D86-631A-451E-B03E-64EA40F211D5}"/>
    <cellStyle name="Percentuale 2 5 3 5 2 3" xfId="6207" xr:uid="{0A0D2833-6E44-4234-A74E-51732AB25D4C}"/>
    <cellStyle name="Percentuale 2 5 3 5 3" xfId="2299" xr:uid="{7B46D7B0-BD2E-4239-8E6A-7BE01A6F6593}"/>
    <cellStyle name="Percentuale 2 5 3 5 3 2" xfId="4613" xr:uid="{EF0BBDF5-90AE-4FF6-A356-AD47512FAA46}"/>
    <cellStyle name="Percentuale 2 5 3 5 3 3" xfId="6635" xr:uid="{56A572BC-30D1-48D1-B14A-7EB318485B99}"/>
    <cellStyle name="Percentuale 2 5 3 5 4" xfId="2729" xr:uid="{BC5BF945-802D-477D-88BD-399B8DD28C6E}"/>
    <cellStyle name="Percentuale 2 5 3 5 4 2" xfId="5043" xr:uid="{069AFDD8-CA12-455C-B0BA-E4F4465885C3}"/>
    <cellStyle name="Percentuale 2 5 3 5 4 3" xfId="7037" xr:uid="{BBBE89C6-3E10-4CA9-9755-00B6376547EF}"/>
    <cellStyle name="Percentuale 2 5 3 5 5" xfId="1205" xr:uid="{E2E1E0C9-C2E4-4FA4-89A9-CCAA33B9B7D8}"/>
    <cellStyle name="Percentuale 2 5 3 5 6" xfId="3543" xr:uid="{B2A60F85-3082-4DA9-B58C-2730720CFC59}"/>
    <cellStyle name="Percentuale 2 5 3 5 7" xfId="5663" xr:uid="{9453C992-7AE7-4D8D-A1F3-B5C231AAAD43}"/>
    <cellStyle name="Percentuale 2 5 3 6" xfId="1684" xr:uid="{B62B8D69-26E6-4949-9604-75BEE5FCA225}"/>
    <cellStyle name="Percentuale 2 5 3 6 2" xfId="3998" xr:uid="{8DB778A8-92F7-4410-8191-BA1D855DF5FD}"/>
    <cellStyle name="Percentuale 2 5 3 6 3" xfId="6054" xr:uid="{8961CB06-4104-4F3E-954C-237C79F193F5}"/>
    <cellStyle name="Percentuale 2 5 3 7" xfId="1717" xr:uid="{1ED77EE5-1B0A-4C91-AD91-EA94A435AC2D}"/>
    <cellStyle name="Percentuale 2 5 3 7 2" xfId="4031" xr:uid="{28B96D4B-64F8-493F-B34D-E5C576EC6E61}"/>
    <cellStyle name="Percentuale 2 5 3 7 3" xfId="6085" xr:uid="{648880C9-06FA-4DA4-A223-A29B968279E5}"/>
    <cellStyle name="Percentuale 2 5 3 8" xfId="1002" xr:uid="{F413D261-E370-4315-BC2C-B191FAF77A47}"/>
    <cellStyle name="Percentuale 2 5 3 9" xfId="3373" xr:uid="{B4D687EC-B143-4851-97DD-2698BE6BE09C}"/>
    <cellStyle name="Percentuale 2 5 4" xfId="221" xr:uid="{E8D3FC16-EB71-4F0B-A091-A310AD9DD239}"/>
    <cellStyle name="Percentuale 2 5 4 2" xfId="692" xr:uid="{14B0FB8B-642A-4975-881B-B52B3C08BFDE}"/>
    <cellStyle name="Percentuale 2 5 4 2 2" xfId="2150" xr:uid="{E58A2BB7-9FC9-45A5-ACBA-4270F5FF32D4}"/>
    <cellStyle name="Percentuale 2 5 4 2 2 2" xfId="4464" xr:uid="{E7C6D687-857B-4791-9F64-58156277FF54}"/>
    <cellStyle name="Percentuale 2 5 4 2 2 3" xfId="6486" xr:uid="{BF9F9A4D-8F4F-453C-B53D-5395AFF4EF06}"/>
    <cellStyle name="Percentuale 2 5 4 2 3" xfId="2602" xr:uid="{23DEE7CD-F159-48FA-BA0D-B241AECE6B0A}"/>
    <cellStyle name="Percentuale 2 5 4 2 3 2" xfId="4916" xr:uid="{2E599F51-9567-4ACA-A2F3-0B6A70B865D7}"/>
    <cellStyle name="Percentuale 2 5 4 2 3 3" xfId="6910" xr:uid="{B2E67C1C-C282-4855-A451-9BD5B1E3DF3E}"/>
    <cellStyle name="Percentuale 2 5 4 2 4" xfId="2977" xr:uid="{D3E03D3E-2FA8-4125-B8D8-F7CED1731837}"/>
    <cellStyle name="Percentuale 2 5 4 2 4 2" xfId="5291" xr:uid="{7FE588CD-ED36-48C5-AC54-6C7183E37272}"/>
    <cellStyle name="Percentuale 2 5 4 2 4 3" xfId="7285" xr:uid="{70D35472-F339-40F0-9B6B-98F98DAD7530}"/>
    <cellStyle name="Percentuale 2 5 4 2 5" xfId="1540" xr:uid="{32E428E6-3767-45BD-8FA6-9EDF7FB4DBF8}"/>
    <cellStyle name="Percentuale 2 5 4 2 6" xfId="3856" xr:uid="{8663C44A-3C8A-4B46-A230-2ABD0581D0E8}"/>
    <cellStyle name="Percentuale 2 5 4 2 7" xfId="5923" xr:uid="{2F7C083A-F39F-4B03-9A44-98D981AE6DA7}"/>
    <cellStyle name="Percentuale 2 5 4 3" xfId="1727" xr:uid="{947B7DC9-D605-4C1C-9184-29806F975A64}"/>
    <cellStyle name="Percentuale 2 5 4 3 2" xfId="4041" xr:uid="{E403E32B-E121-4046-A2C6-2751ECDBF662}"/>
    <cellStyle name="Percentuale 2 5 4 3 3" xfId="7789" xr:uid="{86F0D40F-A8F4-4531-BE2A-C80463D27A6B}"/>
    <cellStyle name="Percentuale 2 5 4 4" xfId="1940" xr:uid="{ABC7871F-51E2-4725-8BDE-9D7EA0956ABE}"/>
    <cellStyle name="Percentuale 2 5 4 4 2" xfId="4254" xr:uid="{CE243E5D-82AE-4330-8F3B-177B164F7BC6}"/>
    <cellStyle name="Percentuale 2 5 4 4 3" xfId="7915" xr:uid="{2C315184-6DC7-4974-A516-9F4D1F85C9F2}"/>
    <cellStyle name="Percentuale 2 5 4 5" xfId="1069" xr:uid="{478274F8-2EA3-4437-B8BE-577EF27360E6}"/>
    <cellStyle name="Percentuale 2 5 4 6" xfId="3427" xr:uid="{A84932F0-6D89-42B8-A607-89A820688B3F}"/>
    <cellStyle name="Percentuale 2 5 4 7" xfId="5586" xr:uid="{281135C7-F5E5-4989-8FB3-DD33DF8CEC96}"/>
    <cellStyle name="Percentuale 2 5 5" xfId="393" xr:uid="{CE465740-FC85-47C2-8E21-AA8EDC54876D}"/>
    <cellStyle name="Percentuale 2 5 5 2" xfId="1874" xr:uid="{6B19A65A-065A-4A5F-8D77-5639897E554C}"/>
    <cellStyle name="Percentuale 2 5 5 2 2" xfId="4188" xr:uid="{B39CD66A-93D9-4022-BE52-B050971D6498}"/>
    <cellStyle name="Percentuale 2 5 5 2 3" xfId="7872" xr:uid="{5BD4D320-3292-44D6-B2E7-C3D6224BE27B}"/>
    <cellStyle name="Percentuale 2 5 5 3" xfId="2331" xr:uid="{E7A2726E-A1A8-439F-8181-B28253014DD9}"/>
    <cellStyle name="Percentuale 2 5 5 3 2" xfId="4645" xr:uid="{168C0BA2-8628-45FC-A7D4-A6E8DFC25C8F}"/>
    <cellStyle name="Percentuale 2 5 5 3 3" xfId="8155" xr:uid="{089556DE-53FD-4A57-8AC6-9A4865FAA6F5}"/>
    <cellStyle name="Percentuale 2 5 5 4" xfId="1241" xr:uid="{468999C2-B966-4D20-956F-535CA16B3C1A}"/>
    <cellStyle name="Percentuale 2 5 5 5" xfId="3574" xr:uid="{85290301-081F-4EC0-BCD9-61D5FFA3A7F0}"/>
    <cellStyle name="Percentuale 2 5 5 6" xfId="7520" xr:uid="{E8147879-98CE-4280-95D7-3FB096F561E9}"/>
    <cellStyle name="Percentuale 2 5 6" xfId="925" xr:uid="{FE01D1B5-1199-4B73-8D39-5928261294BB}"/>
    <cellStyle name="Percentuale 2 5 6 2" xfId="3307" xr:uid="{11AF56A2-417D-4574-AF41-75D4F909B266}"/>
    <cellStyle name="Percentuale 2 5 6 3" xfId="774" xr:uid="{903DAA68-C690-4DEF-826C-A9DD1FCB2DD3}"/>
    <cellStyle name="Percentuale 2 5 7" xfId="1622" xr:uid="{899FC988-0CB7-484F-B188-DA9CB6FE3897}"/>
    <cellStyle name="Percentuale 2 5 7 2" xfId="3936" xr:uid="{BDBF1E92-412E-4897-A672-985B89A37174}"/>
    <cellStyle name="Percentuale 2 5 7 3" xfId="7721" xr:uid="{6E8524FA-52B2-4404-9790-CE277B2D8846}"/>
    <cellStyle name="Percentuale 2 5 8" xfId="829" xr:uid="{30784629-346D-475E-AB0C-0F96ED1B3DC1}"/>
    <cellStyle name="Percentuale 2 5 9" xfId="3224" xr:uid="{7419651C-0E58-4410-AE5B-5FA2A7ACB6FF}"/>
    <cellStyle name="Percentuale 2 6" xfId="132" xr:uid="{A163E7EC-E01D-491E-90EB-58E00325F7B4}"/>
    <cellStyle name="Percentuale 2 6 10" xfId="773" xr:uid="{B6C2C65F-BC04-49A7-8D29-A953157DC81C}"/>
    <cellStyle name="Percentuale 2 6 11" xfId="776" xr:uid="{4150B91E-3D7E-444D-9BE7-766DF5ED8C43}"/>
    <cellStyle name="Percentuale 2 6 2" xfId="272" xr:uid="{CF04A26D-E2E4-4FEE-B2A1-927C2166F273}"/>
    <cellStyle name="Percentuale 2 6 2 2" xfId="644" xr:uid="{0195FB1C-57C2-4A13-BE1D-AD3FC96D493C}"/>
    <cellStyle name="Percentuale 2 6 2 2 2" xfId="2102" xr:uid="{94564935-7B33-4A4B-A045-169EBE3F0079}"/>
    <cellStyle name="Percentuale 2 6 2 2 2 2" xfId="4416" xr:uid="{08241075-9D10-4394-A120-B0E2530885CC}"/>
    <cellStyle name="Percentuale 2 6 2 2 2 3" xfId="8012" xr:uid="{95B3F3FA-17EF-4B95-964E-EA34953ECF27}"/>
    <cellStyle name="Percentuale 2 6 2 2 3" xfId="2554" xr:uid="{BDFAB158-50D8-4DD8-B11E-CB043399A842}"/>
    <cellStyle name="Percentuale 2 6 2 2 3 2" xfId="4868" xr:uid="{9A76937A-327F-4362-83BB-ECDC22B12517}"/>
    <cellStyle name="Percentuale 2 6 2 2 3 3" xfId="8292" xr:uid="{39C9D54D-BBA3-4DF0-9F60-2FBD28E19955}"/>
    <cellStyle name="Percentuale 2 6 2 2 4" xfId="1492" xr:uid="{A9369D97-7B09-4314-9B52-3E63DD354063}"/>
    <cellStyle name="Percentuale 2 6 2 2 5" xfId="3808" xr:uid="{1175C058-FEA9-4B9B-B987-3FD28C92F45A}"/>
    <cellStyle name="Percentuale 2 6 2 2 6" xfId="7641" xr:uid="{DA725BB4-7784-4BC8-A816-2868C426E31E}"/>
    <cellStyle name="Percentuale 2 6 2 3" xfId="721" xr:uid="{666735F2-6557-43AD-B37E-BBA30EB4E6C1}"/>
    <cellStyle name="Percentuale 2 6 2 3 2" xfId="2179" xr:uid="{C7BB06D0-E00C-4557-973D-A7D69E0E45AD}"/>
    <cellStyle name="Percentuale 2 6 2 3 2 2" xfId="4493" xr:uid="{DADEA769-AD34-45D6-A82C-B1F897230DB8}"/>
    <cellStyle name="Percentuale 2 6 2 3 2 3" xfId="6515" xr:uid="{3E4000D3-697E-4BB9-816B-2BED4C55E391}"/>
    <cellStyle name="Percentuale 2 6 2 3 3" xfId="2631" xr:uid="{4BCCCD51-10AA-46E5-8657-39281ACA0152}"/>
    <cellStyle name="Percentuale 2 6 2 3 3 2" xfId="4945" xr:uid="{81F5F9A5-DDC3-4494-A25E-895725F738B3}"/>
    <cellStyle name="Percentuale 2 6 2 3 3 3" xfId="6939" xr:uid="{0E36E7A7-7695-48DB-930F-44C1578C42D6}"/>
    <cellStyle name="Percentuale 2 6 2 3 4" xfId="3006" xr:uid="{6FF1CD25-06E7-42E6-ADE7-697B1114E4C5}"/>
    <cellStyle name="Percentuale 2 6 2 3 4 2" xfId="5320" xr:uid="{6EAEFCFF-1A21-41C9-8410-A52D5AED0187}"/>
    <cellStyle name="Percentuale 2 6 2 3 4 3" xfId="7314" xr:uid="{E6BD4940-2BFD-4B96-B57E-77A37AD8C694}"/>
    <cellStyle name="Percentuale 2 6 2 3 5" xfId="1569" xr:uid="{D32E4E04-205E-49D3-AD15-669F19F8A7E3}"/>
    <cellStyle name="Percentuale 2 6 2 3 6" xfId="3885" xr:uid="{619077A4-7B09-4246-9B28-CAEA12AB6444}"/>
    <cellStyle name="Percentuale 2 6 2 3 7" xfId="5952" xr:uid="{2B35F0A0-1162-49F0-A61C-8DFF4FEB9D1C}"/>
    <cellStyle name="Percentuale 2 6 2 4" xfId="529" xr:uid="{7C33B6CB-E41F-405A-81BF-8DA333FAB955}"/>
    <cellStyle name="Percentuale 2 6 2 4 2" xfId="1988" xr:uid="{6B5735DA-597B-434C-862B-6589AA4B781F}"/>
    <cellStyle name="Percentuale 2 6 2 4 2 2" xfId="4302" xr:uid="{79F6DF8C-0CF4-4A67-B9DC-D9785BE34E2B}"/>
    <cellStyle name="Percentuale 2 6 2 4 2 3" xfId="6343" xr:uid="{EEEC75BE-E682-4B35-B002-0D7144D93A73}"/>
    <cellStyle name="Percentuale 2 6 2 4 3" xfId="2439" xr:uid="{B8D5ED11-EDB8-472A-A13C-82C1B709BBE5}"/>
    <cellStyle name="Percentuale 2 6 2 4 3 2" xfId="4753" xr:uid="{103CA684-126E-4409-9ACD-39EF25032DC0}"/>
    <cellStyle name="Percentuale 2 6 2 4 3 3" xfId="6763" xr:uid="{25BBAAB8-CAB7-4C8A-A62C-67DE8890F0DA}"/>
    <cellStyle name="Percentuale 2 6 2 4 4" xfId="2844" xr:uid="{506242B0-DB5B-4156-91B4-14E0F399A9EA}"/>
    <cellStyle name="Percentuale 2 6 2 4 4 2" xfId="5158" xr:uid="{F85F4842-F3F1-49C3-A218-B706CC7E1177}"/>
    <cellStyle name="Percentuale 2 6 2 4 4 3" xfId="7152" xr:uid="{A2F56EA1-99A6-4B23-9EB3-714A484BB9ED}"/>
    <cellStyle name="Percentuale 2 6 2 4 5" xfId="1377" xr:uid="{633B772A-2E79-46D2-B4BD-FF4A531A5971}"/>
    <cellStyle name="Percentuale 2 6 2 4 6" xfId="3693" xr:uid="{A81041B0-7732-40D5-B3D0-6AF4AFE665FD}"/>
    <cellStyle name="Percentuale 2 6 2 4 7" xfId="5783" xr:uid="{51696723-B7D3-4807-9871-BC535EB21CE5}"/>
    <cellStyle name="Percentuale 2 6 2 5" xfId="1766" xr:uid="{5C38864A-D8DF-426A-AFA9-000E4AFBDD5D}"/>
    <cellStyle name="Percentuale 2 6 2 5 2" xfId="4080" xr:uid="{CDBD0807-7E79-45D8-861D-B3B0A74137C1}"/>
    <cellStyle name="Percentuale 2 6 2 5 3" xfId="6130" xr:uid="{13C38C44-4170-4C67-873D-9687018B41D8}"/>
    <cellStyle name="Percentuale 2 6 2 6" xfId="2228" xr:uid="{DA273953-F5DB-44A8-A057-9C4F3F512F8A}"/>
    <cellStyle name="Percentuale 2 6 2 6 2" xfId="4542" xr:uid="{E244FC73-5804-45B8-8B44-DD4FA6E011BF}"/>
    <cellStyle name="Percentuale 2 6 2 6 3" xfId="6564" xr:uid="{EFB41A4F-3628-4090-A114-08DC0C4A553A}"/>
    <cellStyle name="Percentuale 2 6 2 7" xfId="1120" xr:uid="{DCBFF3BA-8CB0-4478-A2F2-A84CAB9128A4}"/>
    <cellStyle name="Percentuale 2 6 2 8" xfId="3472" xr:uid="{CBDD9652-BD53-48D6-9134-76F2B523303B}"/>
    <cellStyle name="Percentuale 2 6 2 9" xfId="5593" xr:uid="{DECCA6EA-6F19-4F34-8562-F66BB2022542}"/>
    <cellStyle name="Percentuale 2 6 3" xfId="444" xr:uid="{10F8816D-2B19-47A7-A527-C86A3E69BCBF}"/>
    <cellStyle name="Percentuale 2 6 3 2" xfId="1915" xr:uid="{5D7E4841-FEBD-474D-9100-0A264B5567D3}"/>
    <cellStyle name="Percentuale 2 6 3 2 2" xfId="4229" xr:uid="{84DF4881-11D1-4681-A104-2B91D5140D22}"/>
    <cellStyle name="Percentuale 2 6 3 2 3" xfId="6274" xr:uid="{0C58410A-3EED-4CB4-9545-FF7E601CC3A0}"/>
    <cellStyle name="Percentuale 2 6 3 3" xfId="2370" xr:uid="{8C3FD15A-B7B0-4A6E-BF80-E4E24AF55F93}"/>
    <cellStyle name="Percentuale 2 6 3 3 2" xfId="4684" xr:uid="{0C1F56C2-61CF-40E8-B418-B3EA8D620CCB}"/>
    <cellStyle name="Percentuale 2 6 3 3 3" xfId="6697" xr:uid="{D593C902-FE59-4A37-9CD8-5336A20402BC}"/>
    <cellStyle name="Percentuale 2 6 3 4" xfId="2783" xr:uid="{C2A1C74D-703A-4618-8D96-8A066AC4A481}"/>
    <cellStyle name="Percentuale 2 6 3 4 2" xfId="5097" xr:uid="{C9F7AFBB-3DFA-41BA-A56F-11239F3B607E}"/>
    <cellStyle name="Percentuale 2 6 3 4 3" xfId="7091" xr:uid="{312381D2-03AC-4341-BAF0-9F62BE69D0E4}"/>
    <cellStyle name="Percentuale 2 6 3 5" xfId="1292" xr:uid="{4415D713-81DF-4382-BADB-9DDA72C85D5D}"/>
    <cellStyle name="Percentuale 2 6 3 6" xfId="3618" xr:uid="{B025DE63-1DDA-4C7A-B088-6A6EEB05C45A}"/>
    <cellStyle name="Percentuale 2 6 3 7" xfId="5717" xr:uid="{617E4232-DE54-4CA2-8C50-4FCD1E0E6380}"/>
    <cellStyle name="Percentuale 2 6 4" xfId="580" xr:uid="{4574D6CF-8C74-44EB-8913-04548AC25710}"/>
    <cellStyle name="Percentuale 2 6 4 2" xfId="2038" xr:uid="{5FFD1917-DD0F-4530-AB0A-92F3E0F616A3}"/>
    <cellStyle name="Percentuale 2 6 4 2 2" xfId="4352" xr:uid="{085B6B21-ED45-482F-932B-FF68DD67678A}"/>
    <cellStyle name="Percentuale 2 6 4 2 3" xfId="6393" xr:uid="{6B382A66-FF36-44AA-8B60-F4383095BE4D}"/>
    <cellStyle name="Percentuale 2 6 4 3" xfId="2490" xr:uid="{82CFE157-8F9C-484D-8EA9-90AE2D2CD8F3}"/>
    <cellStyle name="Percentuale 2 6 4 3 2" xfId="4804" xr:uid="{7BAF0AF3-D5EF-499E-A6C1-BC4BB98584B3}"/>
    <cellStyle name="Percentuale 2 6 4 3 3" xfId="6814" xr:uid="{2353BA0B-5BEC-4EAB-88D9-B66DA49AD213}"/>
    <cellStyle name="Percentuale 2 6 4 4" xfId="2895" xr:uid="{418EE721-3268-4031-B6E6-C510E7FE0141}"/>
    <cellStyle name="Percentuale 2 6 4 4 2" xfId="5209" xr:uid="{A33DED13-6DC8-479D-89D2-47EB374878A7}"/>
    <cellStyle name="Percentuale 2 6 4 4 3" xfId="7203" xr:uid="{775ECA5F-3646-40A7-A33C-2CBF9AFD3715}"/>
    <cellStyle name="Percentuale 2 6 4 5" xfId="1428" xr:uid="{C4E32D18-8269-426B-AE62-D00FAE448DB5}"/>
    <cellStyle name="Percentuale 2 6 4 6" xfId="3744" xr:uid="{11A9B550-BC88-42AB-B18A-BE6E2C365C37}"/>
    <cellStyle name="Percentuale 2 6 4 7" xfId="5834" xr:uid="{ECC128B2-E8A5-4310-AC0D-DC99A0FE01E4}"/>
    <cellStyle name="Percentuale 2 6 5" xfId="351" xr:uid="{EBF90820-88D9-4CB2-A931-6D02DD48AC45}"/>
    <cellStyle name="Percentuale 2 6 5 2" xfId="1838" xr:uid="{35BE1E25-B05E-451C-A6F9-FFCC4834664F}"/>
    <cellStyle name="Percentuale 2 6 5 2 2" xfId="4152" xr:uid="{A3EBF728-CA94-4FC2-853B-107E2F42D3AC}"/>
    <cellStyle name="Percentuale 2 6 5 2 3" xfId="6201" xr:uid="{B270D1AC-3C92-4E27-A71D-C64A2458A9F3}"/>
    <cellStyle name="Percentuale 2 6 5 3" xfId="2293" xr:uid="{78001782-0227-4053-8077-9CD8E370F843}"/>
    <cellStyle name="Percentuale 2 6 5 3 2" xfId="4607" xr:uid="{B2C58D57-6198-45AF-9193-D5B9A7152F9C}"/>
    <cellStyle name="Percentuale 2 6 5 3 3" xfId="6629" xr:uid="{AC1951D4-E814-4275-9EB0-A0E0CE53A063}"/>
    <cellStyle name="Percentuale 2 6 5 4" xfId="2723" xr:uid="{7352CBA9-6F6D-4F98-B807-648EEB1EC25C}"/>
    <cellStyle name="Percentuale 2 6 5 4 2" xfId="5037" xr:uid="{7FEF8AA1-05E1-4E0C-B913-CED131830285}"/>
    <cellStyle name="Percentuale 2 6 5 4 3" xfId="7031" xr:uid="{DCC77429-C9C8-469F-88F6-3C718469702D}"/>
    <cellStyle name="Percentuale 2 6 5 5" xfId="1199" xr:uid="{E08578C7-6018-4761-9AC6-0890532CB5D2}"/>
    <cellStyle name="Percentuale 2 6 5 6" xfId="3537" xr:uid="{80DDFB87-467C-4473-913A-BC07F66C3C14}"/>
    <cellStyle name="Percentuale 2 6 5 7" xfId="5657" xr:uid="{1A1F4B62-AF60-4C20-A862-C6604775A83F}"/>
    <cellStyle name="Percentuale 2 6 6" xfId="982" xr:uid="{D403DDE7-7A41-48AD-9CF0-22220D4B9449}"/>
    <cellStyle name="Percentuale 2 6 6 2" xfId="3356" xr:uid="{69ED075F-CBF1-4266-B78A-E639E94C06D3}"/>
    <cellStyle name="Percentuale 2 6 6 3" xfId="3383" xr:uid="{3F59B569-A927-4CAA-BD2C-D27EB3425D0B}"/>
    <cellStyle name="Percentuale 2 6 6 4" xfId="3256" xr:uid="{ADE4D0FC-0954-4CED-AF64-668E13AA24F9}"/>
    <cellStyle name="Percentuale 2 6 7" xfId="1666" xr:uid="{94D078CD-7CBD-4564-BD2B-7135B92E102B}"/>
    <cellStyle name="Percentuale 2 6 7 2" xfId="3980" xr:uid="{698B1A13-7859-4A16-BE3F-3990121A05B3}"/>
    <cellStyle name="Percentuale 2 6 7 3" xfId="6036" xr:uid="{00C624DD-7E33-47CD-9807-F95DDA9ED284}"/>
    <cellStyle name="Percentuale 2 6 8" xfId="1706" xr:uid="{6DEC16A4-2AAF-44AC-B884-3CAE933F7D45}"/>
    <cellStyle name="Percentuale 2 6 8 2" xfId="4020" xr:uid="{A6203BB0-9D7E-4E27-91D5-293607B60597}"/>
    <cellStyle name="Percentuale 2 6 8 3" xfId="6074" xr:uid="{B4149AA4-F998-40E2-A010-E09654AC0083}"/>
    <cellStyle name="Percentuale 2 6 9" xfId="799" xr:uid="{4B3AC9A4-F289-465D-AA2F-F1E5688EE64F}"/>
    <cellStyle name="Percentuale 2 7" xfId="202" xr:uid="{14A0C90D-6B9A-4AE5-BDC6-A5B68AF47D30}"/>
    <cellStyle name="Percentuale 2 7 10" xfId="3624" xr:uid="{2D5C6DF0-DB57-4784-9AA2-1D09CAD409DD}"/>
    <cellStyle name="Percentuale 2 7 2" xfId="606" xr:uid="{AC673610-0565-485C-8F62-6E4DEED5932A}"/>
    <cellStyle name="Percentuale 2 7 2 2" xfId="2064" xr:uid="{E990014D-B658-4048-BFDD-3BCC3248AEC7}"/>
    <cellStyle name="Percentuale 2 7 2 2 2" xfId="4378" xr:uid="{D8CEBA48-28FC-4697-B283-639AF1602929}"/>
    <cellStyle name="Percentuale 2 7 2 2 3" xfId="7976" xr:uid="{4F0334A0-E29E-4EDB-A501-60CADA27CCA0}"/>
    <cellStyle name="Percentuale 2 7 2 3" xfId="2516" xr:uid="{92E766BB-E83A-407B-91C3-DCB6E6115CCA}"/>
    <cellStyle name="Percentuale 2 7 2 3 2" xfId="4830" xr:uid="{4D89C785-1F5E-4CE5-B260-B87D4B3A311D}"/>
    <cellStyle name="Percentuale 2 7 2 3 3" xfId="8256" xr:uid="{70012C0E-755D-4D47-9664-28AE24A21EF8}"/>
    <cellStyle name="Percentuale 2 7 2 4" xfId="1454" xr:uid="{22425CB5-FBE2-42C8-A082-BF2934E4F12F}"/>
    <cellStyle name="Percentuale 2 7 2 5" xfId="3770" xr:uid="{F87D1A2A-B4E8-4CAF-816A-E3390ED05D91}"/>
    <cellStyle name="Percentuale 2 7 2 6" xfId="7605" xr:uid="{18ADC78A-6961-4FB1-AAEC-E55AF04E2428}"/>
    <cellStyle name="Percentuale 2 7 3" xfId="384" xr:uid="{3A71E64E-B7A6-4319-B25D-1C7EE9ED0612}"/>
    <cellStyle name="Percentuale 2 7 3 2" xfId="1866" xr:uid="{F5EE188B-E973-4F9C-A752-49A04BF1935C}"/>
    <cellStyle name="Percentuale 2 7 3 2 2" xfId="4180" xr:uid="{517FC50B-6889-4DF4-9336-C13C4BAED50D}"/>
    <cellStyle name="Percentuale 2 7 3 2 3" xfId="6228" xr:uid="{B6C4EF99-AE2C-483C-8949-11AFB599BE8D}"/>
    <cellStyle name="Percentuale 2 7 3 3" xfId="2323" xr:uid="{1B6CA8DD-53E6-43E5-8B67-5F4334120D20}"/>
    <cellStyle name="Percentuale 2 7 3 3 2" xfId="4637" xr:uid="{8CE1EEED-79EA-427A-BB4F-FE362161E2E1}"/>
    <cellStyle name="Percentuale 2 7 3 3 3" xfId="6656" xr:uid="{67264752-B42C-413D-AE68-9EBCF7535001}"/>
    <cellStyle name="Percentuale 2 7 3 4" xfId="2744" xr:uid="{E32C5CDE-8D9F-49AD-8F40-01331AC9C90E}"/>
    <cellStyle name="Percentuale 2 7 3 4 2" xfId="5058" xr:uid="{C985C629-5138-467E-A917-24B3872C813E}"/>
    <cellStyle name="Percentuale 2 7 3 4 3" xfId="7052" xr:uid="{0C270B2F-C6AD-432D-9DF6-854DC0A2D039}"/>
    <cellStyle name="Percentuale 2 7 3 5" xfId="1232" xr:uid="{2D5ED697-8F2E-4CA3-A6BD-7B710AC5B350}"/>
    <cellStyle name="Percentuale 2 7 3 6" xfId="3567" xr:uid="{DC8C3F10-B858-4180-8D4C-95E4429A1A29}"/>
    <cellStyle name="Percentuale 2 7 3 7" xfId="5682" xr:uid="{46E98948-FC27-4649-9D33-9C79E56BEF49}"/>
    <cellStyle name="Percentuale 2 7 4" xfId="510" xr:uid="{21A6C75F-49C8-40D8-8513-D0EEBDE8A202}"/>
    <cellStyle name="Percentuale 2 7 4 2" xfId="1969" xr:uid="{6450375E-A59A-4B80-AFD0-2905F71D694F}"/>
    <cellStyle name="Percentuale 2 7 4 2 2" xfId="4283" xr:uid="{51A1A5A5-CFD8-414C-AAA6-41CF04327F5C}"/>
    <cellStyle name="Percentuale 2 7 4 2 3" xfId="6324" xr:uid="{E981AF6D-6F41-4D89-B44F-CF94604BAF10}"/>
    <cellStyle name="Percentuale 2 7 4 3" xfId="2420" xr:uid="{8D35110B-4AA1-43A9-A2F7-32026CC79906}"/>
    <cellStyle name="Percentuale 2 7 4 3 2" xfId="4734" xr:uid="{484E9A69-5C2D-4F46-863F-79D9B7C113AA}"/>
    <cellStyle name="Percentuale 2 7 4 3 3" xfId="6744" xr:uid="{DEFFAFBA-CE21-4AAD-B029-D5A65965235B}"/>
    <cellStyle name="Percentuale 2 7 4 4" xfId="2825" xr:uid="{8DC56393-413D-4B8F-A84D-CEE8BD208AB1}"/>
    <cellStyle name="Percentuale 2 7 4 4 2" xfId="5139" xr:uid="{945E9264-44D4-430F-A02A-5B810565A13C}"/>
    <cellStyle name="Percentuale 2 7 4 4 3" xfId="7133" xr:uid="{28B7E19A-B211-4417-9998-4C1B33DD7E4F}"/>
    <cellStyle name="Percentuale 2 7 4 5" xfId="1358" xr:uid="{08A62767-D5D3-4C55-AF79-597147A61A43}"/>
    <cellStyle name="Percentuale 2 7 4 6" xfId="3674" xr:uid="{B8EDD738-371B-4132-A489-EF85C6956CB3}"/>
    <cellStyle name="Percentuale 2 7 4 7" xfId="5764" xr:uid="{EABC4EE5-8CD3-4458-B0BC-63C38131CEDD}"/>
    <cellStyle name="Percentuale 2 7 5" xfId="1050" xr:uid="{3A6A1CCC-44FC-4112-BC9A-338A3F20632A}"/>
    <cellStyle name="Percentuale 2 7 5 2" xfId="3411" xr:uid="{669958C2-4CF6-45CA-8D36-8FDB2AFE139F}"/>
    <cellStyle name="Percentuale 2 7 5 3" xfId="5548" xr:uid="{61F9115E-684F-4C9F-A2A7-679A10E4B93B}"/>
    <cellStyle name="Percentuale 2 7 6" xfId="1710" xr:uid="{054F04E5-3612-4C16-AC5D-36077784BD5F}"/>
    <cellStyle name="Percentuale 2 7 6 2" xfId="4024" xr:uid="{B1FE4B7C-7B4B-47F3-A20C-33E6B2B87928}"/>
    <cellStyle name="Percentuale 2 7 6 3" xfId="6078" xr:uid="{6F6B9EB3-426A-46DA-B6FC-81F0564D8E9F}"/>
    <cellStyle name="Percentuale 2 7 7" xfId="1707" xr:uid="{3E04BBD7-441D-4767-9BB6-CDAB99D1BB3B}"/>
    <cellStyle name="Percentuale 2 7 7 2" xfId="4021" xr:uid="{D7C1BC1B-251F-4A22-A828-60630653B81C}"/>
    <cellStyle name="Percentuale 2 7 7 3" xfId="6075" xr:uid="{843B8362-B2A1-4BC5-A0B2-95AE24308296}"/>
    <cellStyle name="Percentuale 2 7 8" xfId="877" xr:uid="{7CAECAD5-C1E1-43DF-BC87-2ED00D336025}"/>
    <cellStyle name="Percentuale 2 7 9" xfId="3262" xr:uid="{47726230-95A1-4551-B31C-EFA98C4FB9C8}"/>
    <cellStyle name="Percentuale 2 8" xfId="370" xr:uid="{C96D21B9-8F4A-438C-BCC0-B82EB4D0E4A6}"/>
    <cellStyle name="Percentuale 2 8 2" xfId="1855" xr:uid="{F037B68E-85FF-414F-89F0-811C4D233330}"/>
    <cellStyle name="Percentuale 2 8 2 2" xfId="4169" xr:uid="{CC46952C-1B0E-4F4B-A665-E1EAB629BCB7}"/>
    <cellStyle name="Percentuale 2 8 2 3" xfId="7856" xr:uid="{D6A60131-B830-44E7-9803-AB86CF82E708}"/>
    <cellStyle name="Percentuale 2 8 3" xfId="2311" xr:uid="{713DAD61-7006-44E2-9120-3F1875984C4F}"/>
    <cellStyle name="Percentuale 2 8 3 2" xfId="4625" xr:uid="{BC7D180F-DE28-4395-A95A-51405DEBB4E4}"/>
    <cellStyle name="Percentuale 2 8 3 3" xfId="8138" xr:uid="{4E410CCF-0B32-4677-AD4F-F5029A9AA41B}"/>
    <cellStyle name="Percentuale 2 8 4" xfId="1218" xr:uid="{E23F8A03-1E79-40B4-AEF0-422F2FF1A2CB}"/>
    <cellStyle name="Percentuale 2 8 5" xfId="3553" xr:uid="{5FD1C580-9AC2-452C-B575-9FD8AC70FAA5}"/>
    <cellStyle name="Percentuale 2 8 6" xfId="5743" xr:uid="{5DE15C7B-5BD5-470F-A4E2-C8D2930BB9F5}"/>
    <cellStyle name="Percentuale 3" xfId="14" xr:uid="{00000000-0005-0000-0000-00003B000000}"/>
    <cellStyle name="Percentuale 3 2 2 2" xfId="81" xr:uid="{9C1608B8-3078-40AE-9895-FFD3B3FF1574}"/>
    <cellStyle name="Puntato" xfId="26" xr:uid="{00000000-0005-0000-0000-00003C000000}"/>
    <cellStyle name="RowLevel_1_BE (2)" xfId="27" xr:uid="{00000000-0005-0000-0000-00003D000000}"/>
    <cellStyle name="Testo descrittivo 2" xfId="36" xr:uid="{00000000-0005-0000-0000-00003E000000}"/>
    <cellStyle name="Valore valido 2" xfId="79" xr:uid="{C52A915D-36B2-40DE-B01F-017575CB3401}"/>
    <cellStyle name="Valore valido 3" xfId="75" xr:uid="{1F9799E2-DED5-4E67-AC8A-BC4E64EDB8C9}"/>
    <cellStyle name="Valuta (0)_CDM_2nov99_TAsse" xfId="28" xr:uid="{00000000-0005-0000-0000-00003F000000}"/>
    <cellStyle name="Valuta 2" xfId="41" xr:uid="{00000000-0005-0000-0000-000040000000}"/>
    <cellStyle name="Valuta 2 2" xfId="63" xr:uid="{00000000-0005-0000-0000-000041000000}"/>
    <cellStyle name="Valuta 2 2 2" xfId="112" xr:uid="{1D17745C-C418-4424-BD72-158D82A6A50F}"/>
    <cellStyle name="Valuta 2 2 2 2" xfId="184" xr:uid="{BCABBFBE-80B6-4049-AA82-79ABC96B08CA}"/>
    <cellStyle name="Valuta 2 2 2 2 2" xfId="321" xr:uid="{28C2FDF0-CA9B-40E8-A23E-4E67185C48D2}"/>
    <cellStyle name="Valuta 2 2 2 2 2 2" xfId="1169" xr:uid="{2A83EE85-AEF2-4344-AA97-B95F4D106747}"/>
    <cellStyle name="Valuta 2 2 2 2 3" xfId="495" xr:uid="{221CF43F-852B-4E31-B2EB-F82CF9BD1A6A}"/>
    <cellStyle name="Valuta 2 2 2 2 3 2" xfId="1343" xr:uid="{8CE2C9E5-CF6C-435B-9869-175CA33335F1}"/>
    <cellStyle name="Valuta 2 2 2 2 4" xfId="1032" xr:uid="{50C10D7F-160C-4ECE-B20A-FFA1A4133D88}"/>
    <cellStyle name="Valuta 2 2 2 3" xfId="252" xr:uid="{C112F042-2082-482E-912D-7CD51E9EC26B}"/>
    <cellStyle name="Valuta 2 2 2 3 2" xfId="1100" xr:uid="{4EFF4E70-FA63-49E1-AF72-E8B0E117797F}"/>
    <cellStyle name="Valuta 2 2 2 4" xfId="424" xr:uid="{6D4D662F-0571-4B84-A637-911B5024AE4C}"/>
    <cellStyle name="Valuta 2 2 2 4 2" xfId="1272" xr:uid="{5C8215DD-B952-484D-93E7-D47E5BD9B148}"/>
    <cellStyle name="Valuta 2 2 2 5" xfId="962" xr:uid="{79811DD7-4FAC-40D0-80F6-FDE2BFFE42EA}"/>
    <cellStyle name="Valuta 2 2 2 6" xfId="862" xr:uid="{34886543-8A45-439E-8CD6-5015F770D7AD}"/>
    <cellStyle name="Valuta 2 2 3" xfId="148" xr:uid="{A39201C6-1E0E-4221-925C-71439D797726}"/>
    <cellStyle name="Valuta 2 2 3 2" xfId="286" xr:uid="{43C2BCA5-572E-42E4-8AB9-ABD8D7ABA2C3}"/>
    <cellStyle name="Valuta 2 2 3 2 2" xfId="1134" xr:uid="{59ACDE6F-F924-41B2-8CE6-5593D415948A}"/>
    <cellStyle name="Valuta 2 2 3 3" xfId="459" xr:uid="{D1EEAB12-55F5-4B36-85BE-D2310CA45444}"/>
    <cellStyle name="Valuta 2 2 3 3 2" xfId="1307" xr:uid="{327C93E9-7307-447A-BFD9-20E90674BFF8}"/>
    <cellStyle name="Valuta 2 2 3 4" xfId="997" xr:uid="{D6F7BBA4-E637-4D16-94C7-C927D7333B8F}"/>
    <cellStyle name="Valuta 2 2 4" xfId="216" xr:uid="{30DD977B-2506-4B17-A971-3E6FB5600EFB}"/>
    <cellStyle name="Valuta 2 2 4 2" xfId="1064" xr:uid="{3D140E75-2DA6-4F89-A0EC-F30B342863EB}"/>
    <cellStyle name="Valuta 2 2 5" xfId="388" xr:uid="{C7EF8E3B-239B-4098-ACB1-D59F4CA4F8C6}"/>
    <cellStyle name="Valuta 2 2 5 2" xfId="1236" xr:uid="{C14A8C40-CE92-44DF-BFF2-7EF9A8476DE9}"/>
    <cellStyle name="Valuta 2 2 6" xfId="1616" xr:uid="{1841F25C-0AB9-48F1-9064-0E4387F1AFD2}"/>
    <cellStyle name="Valuta 2 2 7" xfId="919" xr:uid="{F0739AEE-58C4-4D4B-9AB8-74A7D2277453}"/>
    <cellStyle name="Valuta 2 2 8" xfId="822" xr:uid="{3032899B-58E6-4A52-A57C-4945189FDDC1}"/>
    <cellStyle name="Valuta 3" xfId="42" xr:uid="{00000000-0005-0000-0000-000042000000}"/>
    <cellStyle name="Valuta 3 2" xfId="64" xr:uid="{00000000-0005-0000-0000-000043000000}"/>
    <cellStyle name="Valuta 3 2 2" xfId="113" xr:uid="{264037BB-BC88-4AF6-A23A-7F3D294108CE}"/>
    <cellStyle name="Valuta 3 2 2 2" xfId="185" xr:uid="{648AEE10-67E0-4004-BBEC-EDDE54A16B7E}"/>
    <cellStyle name="Valuta 3 2 2 2 2" xfId="322" xr:uid="{7D9E410E-17D0-4FDE-BEC5-16A9370DCAB3}"/>
    <cellStyle name="Valuta 3 2 2 2 2 2" xfId="1170" xr:uid="{994D80C5-870C-4CE4-800B-10BE2A3B0175}"/>
    <cellStyle name="Valuta 3 2 2 2 3" xfId="496" xr:uid="{DB3445B3-1878-4AFE-9A15-C273B2952516}"/>
    <cellStyle name="Valuta 3 2 2 2 3 2" xfId="1344" xr:uid="{5CAA8BDB-6933-413D-B22E-4BAE56D7A10C}"/>
    <cellStyle name="Valuta 3 2 2 2 4" xfId="1033" xr:uid="{7A72A2EA-EF73-44F7-B93F-AE4FB4CF08B2}"/>
    <cellStyle name="Valuta 3 2 2 3" xfId="253" xr:uid="{B692B2A2-808D-4954-85B4-42230E0D4B72}"/>
    <cellStyle name="Valuta 3 2 2 3 2" xfId="1101" xr:uid="{48CBEB6C-7192-446C-A976-6581F0DD8567}"/>
    <cellStyle name="Valuta 3 2 2 4" xfId="425" xr:uid="{55ADA78D-9428-4F5E-A62E-D3534F825D91}"/>
    <cellStyle name="Valuta 3 2 2 4 2" xfId="1273" xr:uid="{E23FE8F8-50A9-4D3E-BC62-A322ED6A612D}"/>
    <cellStyle name="Valuta 3 2 2 5" xfId="963" xr:uid="{FF32792B-1449-4D22-8ED8-0116A06B8566}"/>
    <cellStyle name="Valuta 3 2 2 6" xfId="863" xr:uid="{D75AF56D-7ECD-45BE-A45B-64FD69BD3404}"/>
    <cellStyle name="Valuta 3 2 3" xfId="149" xr:uid="{1EFB12C3-13B5-4B5E-92C2-900161F32CE4}"/>
    <cellStyle name="Valuta 3 2 3 2" xfId="287" xr:uid="{4BD9BFE3-B2D2-46F5-9581-0202D4446095}"/>
    <cellStyle name="Valuta 3 2 3 2 2" xfId="1135" xr:uid="{65DE723B-C7B9-4338-A1BE-CA10D29DB341}"/>
    <cellStyle name="Valuta 3 2 3 3" xfId="460" xr:uid="{5D79830F-835B-49E9-802B-9BB2996467C2}"/>
    <cellStyle name="Valuta 3 2 3 3 2" xfId="1308" xr:uid="{1413F38D-2AC8-47FE-A34F-948E18EDDAB1}"/>
    <cellStyle name="Valuta 3 2 3 4" xfId="998" xr:uid="{F1C7CC1E-CC59-41F5-ACA0-8CF1512EF542}"/>
    <cellStyle name="Valuta 3 2 4" xfId="217" xr:uid="{DA478AAD-6C5D-45F3-B40A-067DC63C58CE}"/>
    <cellStyle name="Valuta 3 2 4 2" xfId="1065" xr:uid="{4067AD3A-DB84-49CF-B1A5-4E435BABD035}"/>
    <cellStyle name="Valuta 3 2 5" xfId="389" xr:uid="{09F0D729-5592-4377-8A62-9BBE46B28AB0}"/>
    <cellStyle name="Valuta 3 2 5 2" xfId="1237" xr:uid="{80451C43-944B-4A6E-B43E-D25DF862B163}"/>
    <cellStyle name="Valuta 3 2 6" xfId="1617" xr:uid="{41FB1499-B8E7-4EBD-8456-BF202753D534}"/>
    <cellStyle name="Valuta 3 2 7" xfId="920" xr:uid="{8EAC3D0D-52DA-4714-91E1-EF9DC7973CFB}"/>
    <cellStyle name="Valuta 3 2 8" xfId="823" xr:uid="{004C5013-2D51-4D9A-9067-2833D60DBAD2}"/>
    <cellStyle name="Valuta 4" xfId="50" xr:uid="{00000000-0005-0000-0000-000044000000}"/>
    <cellStyle name="Valuta 5" xfId="68" xr:uid="{00000000-0005-0000-0000-000045000000}"/>
  </cellStyles>
  <dxfs count="28">
    <dxf>
      <fill>
        <patternFill>
          <bgColor rgb="FF00B050"/>
        </patternFill>
      </fill>
    </dxf>
    <dxf>
      <fill>
        <patternFill>
          <bgColor theme="5" tint="0.39994506668294322"/>
        </patternFill>
      </fill>
    </dxf>
    <dxf>
      <fill>
        <patternFill>
          <bgColor rgb="FF00B050"/>
        </patternFill>
      </fill>
    </dxf>
    <dxf>
      <fill>
        <patternFill>
          <bgColor theme="5" tint="0.39994506668294322"/>
        </patternFill>
      </fill>
    </dxf>
    <dxf>
      <fill>
        <patternFill>
          <bgColor rgb="FF00B050"/>
        </patternFill>
      </fill>
    </dxf>
    <dxf>
      <fill>
        <patternFill>
          <bgColor theme="5" tint="0.39994506668294322"/>
        </patternFill>
      </fill>
    </dxf>
    <dxf>
      <fill>
        <patternFill>
          <bgColor rgb="FF00B050"/>
        </patternFill>
      </fill>
    </dxf>
    <dxf>
      <fill>
        <patternFill>
          <bgColor theme="5" tint="0.39994506668294322"/>
        </patternFill>
      </fill>
    </dxf>
    <dxf>
      <fill>
        <patternFill>
          <bgColor rgb="FF00B050"/>
        </patternFill>
      </fill>
    </dxf>
    <dxf>
      <fill>
        <patternFill>
          <bgColor theme="5" tint="0.39994506668294322"/>
        </patternFill>
      </fill>
    </dxf>
    <dxf>
      <fill>
        <patternFill>
          <bgColor rgb="FF00B050"/>
        </patternFill>
      </fill>
    </dxf>
    <dxf>
      <fill>
        <patternFill>
          <bgColor theme="5" tint="0.39994506668294322"/>
        </patternFill>
      </fill>
    </dxf>
    <dxf>
      <fill>
        <patternFill>
          <bgColor rgb="FF00B050"/>
        </patternFill>
      </fill>
    </dxf>
    <dxf>
      <fill>
        <patternFill>
          <bgColor theme="5" tint="0.39994506668294322"/>
        </patternFill>
      </fill>
    </dxf>
    <dxf>
      <fill>
        <patternFill>
          <bgColor rgb="FF00B050"/>
        </patternFill>
      </fill>
    </dxf>
    <dxf>
      <fill>
        <patternFill>
          <bgColor theme="5" tint="0.39994506668294322"/>
        </patternFill>
      </fill>
    </dxf>
    <dxf>
      <font>
        <strike val="0"/>
        <color rgb="FFC00000"/>
      </font>
      <fill>
        <patternFill>
          <bgColor theme="5" tint="0.59996337778862885"/>
        </patternFill>
      </fill>
    </dxf>
    <dxf>
      <font>
        <color theme="1"/>
      </font>
      <fill>
        <patternFill>
          <bgColor rgb="FF5ECE6B"/>
        </patternFill>
      </fill>
    </dxf>
    <dxf>
      <font>
        <strike val="0"/>
        <color rgb="FFC00000"/>
      </font>
      <fill>
        <patternFill>
          <bgColor theme="5" tint="0.59996337778862885"/>
        </patternFill>
      </fill>
    </dxf>
    <dxf>
      <font>
        <color theme="1"/>
      </font>
      <fill>
        <patternFill>
          <bgColor rgb="FF5ECE6B"/>
        </patternFill>
      </fill>
    </dxf>
    <dxf>
      <font>
        <strike val="0"/>
        <color rgb="FFC00000"/>
      </font>
      <fill>
        <patternFill>
          <bgColor theme="5" tint="0.59996337778862885"/>
        </patternFill>
      </fill>
    </dxf>
    <dxf>
      <font>
        <color theme="1"/>
      </font>
      <fill>
        <patternFill>
          <bgColor rgb="FF5ECE6B"/>
        </patternFill>
      </fill>
    </dxf>
    <dxf>
      <font>
        <strike val="0"/>
        <color rgb="FFC00000"/>
      </font>
      <fill>
        <patternFill>
          <bgColor theme="5" tint="0.59996337778862885"/>
        </patternFill>
      </fill>
    </dxf>
    <dxf>
      <font>
        <color theme="1"/>
      </font>
      <fill>
        <patternFill>
          <bgColor rgb="FF5ECE6B"/>
        </patternFill>
      </fill>
    </dxf>
    <dxf>
      <font>
        <strike val="0"/>
        <color rgb="FFC00000"/>
      </font>
      <fill>
        <patternFill>
          <bgColor theme="5" tint="0.59996337778862885"/>
        </patternFill>
      </fill>
    </dxf>
    <dxf>
      <font>
        <color theme="1"/>
      </font>
      <fill>
        <patternFill>
          <bgColor rgb="FF5ECE6B"/>
        </patternFill>
      </fill>
    </dxf>
    <dxf>
      <font>
        <b/>
        <i val="0"/>
        <color auto="1"/>
      </font>
      <fill>
        <gradientFill degree="45">
          <stop position="0">
            <color theme="4" tint="0.80001220740379042"/>
          </stop>
          <stop position="1">
            <color rgb="FFFF0000"/>
          </stop>
        </gradientFill>
      </fill>
      <border>
        <left style="dashDotDot">
          <color auto="1"/>
        </left>
        <right style="dashDotDot">
          <color auto="1"/>
        </right>
        <top style="dashDotDot">
          <color auto="1"/>
        </top>
        <bottom style="dashDotDot">
          <color auto="1"/>
        </bottom>
        <vertical/>
        <horizontal/>
      </border>
    </dxf>
    <dxf>
      <font>
        <b/>
        <i val="0"/>
        <color auto="1"/>
      </font>
      <fill>
        <gradientFill degree="45">
          <stop position="0">
            <color theme="4" tint="0.80001220740379042"/>
          </stop>
          <stop position="1">
            <color rgb="FFFF0000"/>
          </stop>
        </gradientFill>
      </fill>
      <border>
        <left style="dashDotDot">
          <color auto="1"/>
        </left>
        <right style="dashDotDot">
          <color auto="1"/>
        </right>
        <top style="dashDotDot">
          <color auto="1"/>
        </top>
        <bottom style="dashDotDot">
          <color auto="1"/>
        </bottom>
        <vertical/>
        <horizontal/>
      </border>
    </dxf>
  </dxfs>
  <tableStyles count="0" defaultTableStyle="TableStyleMedium2" defaultPivotStyle="PivotStyleMedium9"/>
  <colors>
    <mruColors>
      <color rgb="FFE26B0A"/>
      <color rgb="FFFFCCFF"/>
      <color rgb="FF5CFA98"/>
      <color rgb="FF7FE739"/>
      <color rgb="FFFEF1E6"/>
      <color rgb="FFFDE9D9"/>
      <color rgb="FFFFFFCC"/>
      <color rgb="FFFFFF00"/>
      <color rgb="FFD9D9D9"/>
      <color rgb="FF5ECE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47625</xdr:colOff>
      <xdr:row>0</xdr:row>
      <xdr:rowOff>39688</xdr:rowOff>
    </xdr:from>
    <xdr:to>
      <xdr:col>6</xdr:col>
      <xdr:colOff>59531</xdr:colOff>
      <xdr:row>0</xdr:row>
      <xdr:rowOff>849313</xdr:rowOff>
    </xdr:to>
    <xdr:sp macro="" textlink="">
      <xdr:nvSpPr>
        <xdr:cNvPr id="2" name="CasellaDiTesto 1">
          <a:extLst>
            <a:ext uri="{FF2B5EF4-FFF2-40B4-BE49-F238E27FC236}">
              <a16:creationId xmlns:a16="http://schemas.microsoft.com/office/drawing/2014/main" id="{2FAF6E8A-2514-43E9-B5A9-0B53842FCA20}"/>
            </a:ext>
          </a:extLst>
        </xdr:cNvPr>
        <xdr:cNvSpPr txBox="1"/>
      </xdr:nvSpPr>
      <xdr:spPr>
        <a:xfrm>
          <a:off x="6929438" y="39688"/>
          <a:ext cx="3405187" cy="8096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per i soli soggetti che hanno precedentemente formulato istanza ai sensi del co. 5.3, lett. a) (aggregazioni gestionali), i dati richiesti sono relativi al solo perimetro di valutazione dell'anno base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xdr:colOff>
      <xdr:row>0</xdr:row>
      <xdr:rowOff>0</xdr:rowOff>
    </xdr:from>
    <xdr:to>
      <xdr:col>6</xdr:col>
      <xdr:colOff>11907</xdr:colOff>
      <xdr:row>0</xdr:row>
      <xdr:rowOff>809625</xdr:rowOff>
    </xdr:to>
    <xdr:sp macro="" textlink="">
      <xdr:nvSpPr>
        <xdr:cNvPr id="5" name="CasellaDiTesto 4">
          <a:extLst>
            <a:ext uri="{FF2B5EF4-FFF2-40B4-BE49-F238E27FC236}">
              <a16:creationId xmlns:a16="http://schemas.microsoft.com/office/drawing/2014/main" id="{B068F685-410C-407C-8A2A-A9E2BB6DBC2C}"/>
            </a:ext>
          </a:extLst>
        </xdr:cNvPr>
        <xdr:cNvSpPr txBox="1"/>
      </xdr:nvSpPr>
      <xdr:spPr>
        <a:xfrm>
          <a:off x="6822282" y="0"/>
          <a:ext cx="3405188" cy="8096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per i soli soggetti che hanno precedentemente formulato istanza ai sensi del co. 5.3, lett. a) (aggregazioni gestionali), </a:t>
          </a:r>
          <a:r>
            <a:rPr lang="it-IT" sz="1100">
              <a:solidFill>
                <a:schemeClr val="dk1"/>
              </a:solidFill>
              <a:effectLst/>
              <a:latin typeface="+mn-lt"/>
              <a:ea typeface="+mn-ea"/>
              <a:cs typeface="+mn-cs"/>
            </a:rPr>
            <a:t>i dati richiesti sono relativi al solo perimetro di valutazione dell'anno base</a:t>
          </a:r>
          <a:endParaRPr lang="it-IT"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xdr:colOff>
      <xdr:row>0</xdr:row>
      <xdr:rowOff>0</xdr:rowOff>
    </xdr:from>
    <xdr:to>
      <xdr:col>5</xdr:col>
      <xdr:colOff>3381375</xdr:colOff>
      <xdr:row>0</xdr:row>
      <xdr:rowOff>809625</xdr:rowOff>
    </xdr:to>
    <xdr:sp macro="" textlink="">
      <xdr:nvSpPr>
        <xdr:cNvPr id="4" name="CasellaDiTesto 3">
          <a:extLst>
            <a:ext uri="{FF2B5EF4-FFF2-40B4-BE49-F238E27FC236}">
              <a16:creationId xmlns:a16="http://schemas.microsoft.com/office/drawing/2014/main" id="{39EAA173-8074-4DC1-870C-31556D346BFA}"/>
            </a:ext>
          </a:extLst>
        </xdr:cNvPr>
        <xdr:cNvSpPr txBox="1"/>
      </xdr:nvSpPr>
      <xdr:spPr>
        <a:xfrm>
          <a:off x="7119939" y="0"/>
          <a:ext cx="3381374" cy="8096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per i soli soggetti che hanno precedentemente formulato istanza ai sensi del co. 5.3, lett. a) (aggregazioni gestionali), </a:t>
          </a:r>
          <a:r>
            <a:rPr lang="it-IT" sz="1100">
              <a:solidFill>
                <a:schemeClr val="dk1"/>
              </a:solidFill>
              <a:effectLst/>
              <a:latin typeface="+mn-lt"/>
              <a:ea typeface="+mn-ea"/>
              <a:cs typeface="+mn-cs"/>
            </a:rPr>
            <a:t>i dati richiesti sono relativi al solo perimetro di valutazione dell'anno base</a:t>
          </a:r>
          <a:endParaRPr lang="it-IT"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0</xdr:colOff>
      <xdr:row>1</xdr:row>
      <xdr:rowOff>547686</xdr:rowOff>
    </xdr:from>
    <xdr:ext cx="5195" cy="176688"/>
    <xdr:pic>
      <xdr:nvPicPr>
        <xdr:cNvPr id="2" name="irc_mi" descr="Risultati immagini per immagini di ok">
          <a:extLst>
            <a:ext uri="{FF2B5EF4-FFF2-40B4-BE49-F238E27FC236}">
              <a16:creationId xmlns:a16="http://schemas.microsoft.com/office/drawing/2014/main" id="{E82E48EA-05E2-4B9F-9684-973B5A5AD0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97175" y="1433511"/>
          <a:ext cx="5195" cy="1766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150</xdr:row>
      <xdr:rowOff>0</xdr:rowOff>
    </xdr:from>
    <xdr:ext cx="14288" cy="169105"/>
    <xdr:pic>
      <xdr:nvPicPr>
        <xdr:cNvPr id="3" name="Immagine 2" descr="Immagine correlata">
          <a:extLst>
            <a:ext uri="{FF2B5EF4-FFF2-40B4-BE49-F238E27FC236}">
              <a16:creationId xmlns:a16="http://schemas.microsoft.com/office/drawing/2014/main" id="{129006A6-93E3-4360-BD72-189F368F89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497175" y="46272450"/>
          <a:ext cx="14288" cy="1691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0</xdr:colOff>
      <xdr:row>0</xdr:row>
      <xdr:rowOff>0</xdr:rowOff>
    </xdr:from>
    <xdr:to>
      <xdr:col>6</xdr:col>
      <xdr:colOff>0</xdr:colOff>
      <xdr:row>0</xdr:row>
      <xdr:rowOff>809625</xdr:rowOff>
    </xdr:to>
    <xdr:sp macro="" textlink="">
      <xdr:nvSpPr>
        <xdr:cNvPr id="4" name="CasellaDiTesto 3">
          <a:extLst>
            <a:ext uri="{FF2B5EF4-FFF2-40B4-BE49-F238E27FC236}">
              <a16:creationId xmlns:a16="http://schemas.microsoft.com/office/drawing/2014/main" id="{08E40B32-8F06-4126-8B12-3E56F4607AAF}"/>
            </a:ext>
          </a:extLst>
        </xdr:cNvPr>
        <xdr:cNvSpPr txBox="1"/>
      </xdr:nvSpPr>
      <xdr:spPr>
        <a:xfrm>
          <a:off x="6881813" y="0"/>
          <a:ext cx="3393281" cy="8096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per i soli soggetti che hanno precedentemente formulato istanza ai sensi del co. 5.3, lett. a) (aggregazioni gestionali), </a:t>
          </a:r>
          <a:r>
            <a:rPr lang="it-IT" sz="1100">
              <a:solidFill>
                <a:schemeClr val="dk1"/>
              </a:solidFill>
              <a:effectLst/>
              <a:latin typeface="+mn-lt"/>
              <a:ea typeface="+mn-ea"/>
              <a:cs typeface="+mn-cs"/>
            </a:rPr>
            <a:t>i dati richiesti sono relativi al solo perimetro di valutazione dell'anno base</a:t>
          </a:r>
          <a:endParaRPr lang="it-IT"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3369468</xdr:colOff>
      <xdr:row>0</xdr:row>
      <xdr:rowOff>809625</xdr:rowOff>
    </xdr:to>
    <xdr:sp macro="" textlink="">
      <xdr:nvSpPr>
        <xdr:cNvPr id="2" name="CasellaDiTesto 1">
          <a:extLst>
            <a:ext uri="{FF2B5EF4-FFF2-40B4-BE49-F238E27FC236}">
              <a16:creationId xmlns:a16="http://schemas.microsoft.com/office/drawing/2014/main" id="{F93A1949-AE77-49C7-A555-FFB424A284F8}"/>
            </a:ext>
          </a:extLst>
        </xdr:cNvPr>
        <xdr:cNvSpPr txBox="1"/>
      </xdr:nvSpPr>
      <xdr:spPr>
        <a:xfrm>
          <a:off x="6886575" y="0"/>
          <a:ext cx="3369468" cy="8096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per i soli soggetti che hanno precedentemente formulato istanza ai sensi del co. 5.3, lett. a) (aggregazioni gestionali), </a:t>
          </a:r>
          <a:r>
            <a:rPr lang="it-IT" sz="1100">
              <a:solidFill>
                <a:schemeClr val="dk1"/>
              </a:solidFill>
              <a:effectLst/>
              <a:latin typeface="+mn-lt"/>
              <a:ea typeface="+mn-ea"/>
              <a:cs typeface="+mn-cs"/>
            </a:rPr>
            <a:t>i dati richiesti sono relativi al solo perimetro di valutazione dell'anno base</a:t>
          </a:r>
          <a:endParaRPr lang="it-IT"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107156</xdr:colOff>
      <xdr:row>3</xdr:row>
      <xdr:rowOff>0</xdr:rowOff>
    </xdr:from>
    <xdr:to>
      <xdr:col>13</xdr:col>
      <xdr:colOff>317501</xdr:colOff>
      <xdr:row>12</xdr:row>
      <xdr:rowOff>1</xdr:rowOff>
    </xdr:to>
    <xdr:sp macro="" textlink="">
      <xdr:nvSpPr>
        <xdr:cNvPr id="2" name="CasellaDiTesto 1">
          <a:extLst>
            <a:ext uri="{FF2B5EF4-FFF2-40B4-BE49-F238E27FC236}">
              <a16:creationId xmlns:a16="http://schemas.microsoft.com/office/drawing/2014/main" id="{A2FF3266-30CD-4BEA-847B-86A569531E72}"/>
            </a:ext>
          </a:extLst>
        </xdr:cNvPr>
        <xdr:cNvSpPr txBox="1"/>
      </xdr:nvSpPr>
      <xdr:spPr>
        <a:xfrm>
          <a:off x="9775031" y="1524000"/>
          <a:ext cx="3841751" cy="240506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it-IT" sz="1200" b="1">
              <a:solidFill>
                <a:schemeClr val="tx2"/>
              </a:solidFill>
            </a:rPr>
            <a:t>(*)  la valutazione sul raggiungimento o meno dell'obiettivo calcolato nel presente foglio può non corrispondere alle eventuali condizioni specifiche in cui si trova la gestione (ad esempio in casi di</a:t>
          </a:r>
          <a:r>
            <a:rPr lang="it-IT" sz="1200" b="1" baseline="0">
              <a:solidFill>
                <a:schemeClr val="tx2"/>
              </a:solidFill>
              <a:latin typeface="+mn-lt"/>
              <a:ea typeface="+mn-ea"/>
              <a:cs typeface="+mn-cs"/>
            </a:rPr>
            <a:t> </a:t>
          </a:r>
          <a:r>
            <a:rPr lang="it-IT" sz="1200" b="1">
              <a:solidFill>
                <a:schemeClr val="tx2"/>
              </a:solidFill>
              <a:latin typeface="+mn-lt"/>
              <a:ea typeface="+mn-ea"/>
              <a:cs typeface="+mn-cs"/>
            </a:rPr>
            <a:t>raggiungimento degli obiettivi previsti per il macro-indicatore </a:t>
          </a:r>
          <a:r>
            <a:rPr lang="it-IT" sz="1200" b="1">
              <a:solidFill>
                <a:schemeClr val="tx2"/>
              </a:solidFill>
            </a:rPr>
            <a:t>M5 ove vi sia contestualmente il peggioramento della classe dello stesso) - Ai sensi della delibera 637/2023/R/idr, costituisce elemento di valutazione il livello raggiunto cumulativamente al termine dell’anno 2025</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F22"/>
  <sheetViews>
    <sheetView showGridLines="0" zoomScale="80" zoomScaleNormal="80" workbookViewId="0">
      <selection activeCell="C11" sqref="C11:F11"/>
    </sheetView>
  </sheetViews>
  <sheetFormatPr defaultColWidth="9.140625" defaultRowHeight="15" x14ac:dyDescent="0.25"/>
  <cols>
    <col min="1" max="1" width="3.85546875" customWidth="1"/>
    <col min="2" max="2" width="15.85546875" customWidth="1"/>
    <col min="3" max="3" width="45.85546875" customWidth="1"/>
    <col min="4" max="4" width="0.5703125" customWidth="1"/>
    <col min="5" max="5" width="21.85546875" customWidth="1"/>
    <col min="6" max="6" width="45.85546875" customWidth="1"/>
    <col min="7" max="7" width="10.140625" bestFit="1" customWidth="1"/>
  </cols>
  <sheetData>
    <row r="1" spans="1:6" ht="24.95" customHeight="1" x14ac:dyDescent="0.25">
      <c r="A1" s="12"/>
      <c r="B1" s="966" t="s">
        <v>3080</v>
      </c>
      <c r="C1" s="966"/>
      <c r="D1" s="966"/>
      <c r="E1" s="966"/>
      <c r="F1" s="966"/>
    </row>
    <row r="2" spans="1:6" ht="15" customHeight="1" x14ac:dyDescent="0.25">
      <c r="A2" s="8"/>
      <c r="B2" s="13" t="s">
        <v>652</v>
      </c>
      <c r="C2" s="13"/>
      <c r="D2" s="14"/>
      <c r="E2" s="13" t="s">
        <v>654</v>
      </c>
      <c r="F2" s="13"/>
    </row>
    <row r="3" spans="1:6" ht="17.850000000000001" customHeight="1" x14ac:dyDescent="0.25">
      <c r="A3" s="12"/>
      <c r="B3" s="314" t="s">
        <v>653</v>
      </c>
      <c r="C3" s="315" t="s">
        <v>652</v>
      </c>
      <c r="D3" s="316" t="s">
        <v>651</v>
      </c>
      <c r="E3" s="314" t="s">
        <v>2337</v>
      </c>
      <c r="F3" s="315" t="s">
        <v>650</v>
      </c>
    </row>
    <row r="4" spans="1:6" ht="28.35" customHeight="1" x14ac:dyDescent="0.25">
      <c r="A4" s="12"/>
      <c r="B4" s="10"/>
      <c r="C4" s="9" t="str">
        <f>IF(B4="","",VLOOKUP(B4,'TT_Gestori-ATO'!$B:$C,2,FALSE))</f>
        <v/>
      </c>
      <c r="D4" s="11"/>
      <c r="E4" s="10"/>
      <c r="F4" s="9" t="str">
        <f>IF(E4="","",VLOOKUP(E4,'TT_Gestori-ATO'!$F:$G,2,FALSE))</f>
        <v/>
      </c>
    </row>
    <row r="5" spans="1:6" ht="28.35" customHeight="1" x14ac:dyDescent="0.25">
      <c r="A5" s="12"/>
      <c r="B5" s="6"/>
      <c r="C5" s="6"/>
      <c r="D5" s="6"/>
      <c r="E5" s="6"/>
      <c r="F5" s="6"/>
    </row>
    <row r="6" spans="1:6" ht="28.35" customHeight="1" x14ac:dyDescent="0.25">
      <c r="A6" s="12"/>
      <c r="B6" s="6"/>
      <c r="C6" s="6"/>
      <c r="D6" s="6"/>
      <c r="E6" s="317" t="s">
        <v>2883</v>
      </c>
      <c r="F6" s="6"/>
    </row>
    <row r="7" spans="1:6" ht="30" x14ac:dyDescent="0.25">
      <c r="A7" s="12"/>
      <c r="B7" s="6"/>
      <c r="C7" s="876" t="s">
        <v>3146</v>
      </c>
      <c r="D7" s="6"/>
      <c r="E7" s="951">
        <v>46203</v>
      </c>
      <c r="F7" s="877" t="s">
        <v>3147</v>
      </c>
    </row>
    <row r="8" spans="1:6" ht="32.25" customHeight="1" x14ac:dyDescent="0.3">
      <c r="A8" s="8"/>
      <c r="B8" s="8"/>
      <c r="D8" s="8"/>
      <c r="E8" s="8"/>
      <c r="F8" s="7"/>
    </row>
    <row r="9" spans="1:6" ht="19.5" thickBot="1" x14ac:dyDescent="0.35">
      <c r="C9" s="15" t="s">
        <v>1602</v>
      </c>
      <c r="D9" s="12"/>
      <c r="E9" s="8"/>
      <c r="F9" s="8"/>
    </row>
    <row r="10" spans="1:6" ht="30" customHeight="1" thickTop="1" x14ac:dyDescent="0.25">
      <c r="B10" s="963" t="s">
        <v>3024</v>
      </c>
      <c r="C10" s="967" t="s">
        <v>3081</v>
      </c>
      <c r="D10" s="968"/>
      <c r="E10" s="968"/>
      <c r="F10" s="969"/>
    </row>
    <row r="11" spans="1:6" ht="30" customHeight="1" x14ac:dyDescent="0.25">
      <c r="B11" s="964"/>
      <c r="C11" s="970" t="s">
        <v>3082</v>
      </c>
      <c r="D11" s="971"/>
      <c r="E11" s="971"/>
      <c r="F11" s="972"/>
    </row>
    <row r="12" spans="1:6" ht="30" customHeight="1" thickBot="1" x14ac:dyDescent="0.3">
      <c r="B12" s="964"/>
      <c r="C12" s="973" t="s">
        <v>3083</v>
      </c>
      <c r="D12" s="974"/>
      <c r="E12" s="974"/>
      <c r="F12" s="975"/>
    </row>
    <row r="13" spans="1:6" ht="30" customHeight="1" thickTop="1" thickBot="1" x14ac:dyDescent="0.3">
      <c r="B13" s="964"/>
      <c r="C13" s="979" t="s">
        <v>3084</v>
      </c>
      <c r="D13" s="980"/>
      <c r="E13" s="980"/>
      <c r="F13" s="981"/>
    </row>
    <row r="14" spans="1:6" ht="30" customHeight="1" thickTop="1" thickBot="1" x14ac:dyDescent="0.3">
      <c r="B14" s="964"/>
      <c r="C14" s="979" t="s">
        <v>3085</v>
      </c>
      <c r="D14" s="980"/>
      <c r="E14" s="980"/>
      <c r="F14" s="981"/>
    </row>
    <row r="15" spans="1:6" ht="30" customHeight="1" thickTop="1" thickBot="1" x14ac:dyDescent="0.3">
      <c r="B15" s="965"/>
      <c r="C15" s="976" t="s">
        <v>3086</v>
      </c>
      <c r="D15" s="977"/>
      <c r="E15" s="977"/>
      <c r="F15" s="978"/>
    </row>
    <row r="16" spans="1:6" ht="20.100000000000001" customHeight="1" thickTop="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row r="22" ht="20.100000000000001" customHeight="1" x14ac:dyDescent="0.25"/>
  </sheetData>
  <sheetProtection algorithmName="SHA-512" hashValue="Ilt8ObJMbBRvDs/pXS3Y7WKLDg6tSkiX6DuZ4/NnRkqxs6BaYrjiB2zqImUKTOPdLv+L0Keh32dVyR8BL9wchQ==" saltValue="cXYJx81PQigVuYeol+xcgw==" spinCount="100000" sheet="1" objects="1" scenarios="1"/>
  <mergeCells count="8">
    <mergeCell ref="B10:B15"/>
    <mergeCell ref="B1:F1"/>
    <mergeCell ref="C10:F10"/>
    <mergeCell ref="C11:F11"/>
    <mergeCell ref="C12:F12"/>
    <mergeCell ref="C15:F15"/>
    <mergeCell ref="C13:F13"/>
    <mergeCell ref="C14:F14"/>
  </mergeCells>
  <conditionalFormatting sqref="C15">
    <cfRule type="expression" dxfId="27" priority="60">
      <formula>#REF!="X"</formula>
    </cfRule>
  </conditionalFormatting>
  <conditionalFormatting sqref="C10:F14">
    <cfRule type="expression" dxfId="26" priority="1">
      <formula>#REF!="X"</formula>
    </cfRule>
  </conditionalFormatting>
  <hyperlinks>
    <hyperlink ref="C10:F10" location="'QT-Acquedotto'!A1" display="Qualità Tecnica: Acquedotto (dati 2022 e 2023)" xr:uid="{00000000-0004-0000-0000-000003000000}"/>
    <hyperlink ref="C11:F11" location="'QT-Fognatura'!A1" display="Qualità Tecnica: Fognatura (dati 2022 e 2023)" xr:uid="{00000000-0004-0000-0000-000004000000}"/>
    <hyperlink ref="C12:F12" location="'QT-Depurazione'!A1" display="Qualità Tecnica: Depurazione (dati 2022 e 2023)" xr:uid="{00000000-0004-0000-0000-000005000000}"/>
    <hyperlink ref="C15:F15" location="'Riepilogo RQTI'!A1" display="Riepilogo RQTI: valutazione performance anni 2020-2021" xr:uid="{00000000-0004-0000-0000-000006000000}"/>
    <hyperlink ref="C13:F13" location="'QT-Altri dati'!A1" display="Altri dati per monitoraggio RQTI" xr:uid="{584E2289-E0B7-4E54-A5AC-39D77B9251CA}"/>
    <hyperlink ref="C14:F14" location="'QT-Resilienza'!A1" display="Qualità Tecnica: QT-Resilienza (dati 2024)" xr:uid="{2253E6EA-DA26-414F-8E20-767938D1871D}"/>
  </hyperlinks>
  <pageMargins left="0.70866141732283472" right="0.70866141732283472" top="0.74803149606299213" bottom="0.74803149606299213"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2">
        <x14:dataValidation type="list" showErrorMessage="1" errorTitle="ERRORE DI INSERIMENTO" error="Inserito dato errato!!" xr:uid="{00000000-0002-0000-0000-000001000000}">
          <x14:formula1>
            <xm:f>'TT_Gestori-ATO'!$B$3:$B$94</xm:f>
          </x14:formula1>
          <xm:sqref>B4</xm:sqref>
        </x14:dataValidation>
        <x14:dataValidation type="list" showInputMessage="1" showErrorMessage="1" errorTitle="ERRORE DI INSERIMENTO" error="Inserito dato errato!!" xr:uid="{00000000-0002-0000-0000-000000000000}">
          <x14:formula1>
            <xm:f>'TT_Gestori-ATO'!$F$3:$F$1840</xm:f>
          </x14:formula1>
          <xm:sqref>E4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D6F24-E812-4568-823C-25D5DFE116CC}">
  <sheetPr>
    <tabColor theme="3" tint="0.79998168889431442"/>
    <pageSetUpPr fitToPage="1"/>
  </sheetPr>
  <dimension ref="A1:O159"/>
  <sheetViews>
    <sheetView showGridLines="0" zoomScale="80" zoomScaleNormal="80" workbookViewId="0">
      <pane xSplit="3" ySplit="2" topLeftCell="E3" activePane="bottomRight" state="frozen"/>
      <selection activeCell="B4" sqref="B4"/>
      <selection pane="topRight" activeCell="B4" sqref="B4"/>
      <selection pane="bottomLeft" activeCell="B4" sqref="B4"/>
      <selection pane="bottomRight"/>
    </sheetView>
  </sheetViews>
  <sheetFormatPr defaultColWidth="8.85546875" defaultRowHeight="15" x14ac:dyDescent="0.25"/>
  <cols>
    <col min="1" max="1" width="12.85546875" customWidth="1"/>
    <col min="2" max="2" width="50.85546875" style="50" customWidth="1"/>
    <col min="3" max="3" width="9.85546875" customWidth="1"/>
    <col min="4" max="4" width="14.85546875" hidden="1" customWidth="1"/>
    <col min="5" max="5" width="14.85546875" customWidth="1"/>
    <col min="6" max="6" width="50.85546875" style="19" customWidth="1"/>
    <col min="7" max="7" width="2.85546875" style="19" customWidth="1"/>
    <col min="8" max="8" width="25.85546875" style="19" hidden="1" customWidth="1"/>
    <col min="9" max="9" width="25.85546875" style="19" customWidth="1"/>
    <col min="10" max="10" width="2.85546875" style="19" customWidth="1"/>
    <col min="11" max="11" width="20.85546875" style="38" hidden="1" customWidth="1"/>
    <col min="12" max="12" width="20.85546875" style="38" customWidth="1"/>
  </cols>
  <sheetData>
    <row r="1" spans="1:12" ht="69.95" customHeight="1" thickBot="1" x14ac:dyDescent="0.3">
      <c r="A1" s="16"/>
      <c r="B1" s="17" t="s">
        <v>2345</v>
      </c>
      <c r="C1" s="16"/>
      <c r="D1" s="18"/>
      <c r="E1" s="18"/>
      <c r="K1" s="509"/>
      <c r="L1" s="210" t="s">
        <v>3089</v>
      </c>
    </row>
    <row r="2" spans="1:12" ht="70.349999999999994" customHeight="1" thickBot="1" x14ac:dyDescent="0.3">
      <c r="A2" s="20" t="s">
        <v>41</v>
      </c>
      <c r="B2" s="21" t="s">
        <v>42</v>
      </c>
      <c r="C2" s="22" t="s">
        <v>7</v>
      </c>
      <c r="D2" s="428"/>
      <c r="E2" s="177" t="s">
        <v>3087</v>
      </c>
      <c r="F2" s="23" t="s">
        <v>9</v>
      </c>
      <c r="H2" s="518"/>
      <c r="I2" s="212" t="s">
        <v>3088</v>
      </c>
      <c r="K2" s="510"/>
      <c r="L2" s="211">
        <f>SUM(L3:L150)</f>
        <v>0</v>
      </c>
    </row>
    <row r="3" spans="1:12" ht="32.1" customHeight="1" x14ac:dyDescent="0.25">
      <c r="A3" s="24" t="s">
        <v>10</v>
      </c>
      <c r="B3" s="25" t="s">
        <v>11</v>
      </c>
      <c r="C3" s="26" t="s">
        <v>1</v>
      </c>
      <c r="D3" s="485"/>
      <c r="E3" s="172"/>
      <c r="F3" s="3" t="s">
        <v>531</v>
      </c>
      <c r="H3" s="519"/>
      <c r="I3" s="208"/>
      <c r="K3" s="27"/>
      <c r="L3" s="27">
        <f t="shared" ref="L3:L33" si="0">IF(I3="",0,1)</f>
        <v>0</v>
      </c>
    </row>
    <row r="4" spans="1:12" ht="25.35" customHeight="1" x14ac:dyDescent="0.25">
      <c r="A4" s="137" t="s">
        <v>12</v>
      </c>
      <c r="B4" s="118" t="s">
        <v>13</v>
      </c>
      <c r="C4" s="138" t="s">
        <v>1</v>
      </c>
      <c r="D4" s="486"/>
      <c r="E4" s="425"/>
      <c r="F4" s="4"/>
      <c r="H4" s="520"/>
      <c r="I4" s="324"/>
      <c r="K4" s="27"/>
      <c r="L4" s="27">
        <f t="shared" si="0"/>
        <v>0</v>
      </c>
    </row>
    <row r="5" spans="1:12" ht="25.35" customHeight="1" x14ac:dyDescent="0.25">
      <c r="A5" s="137" t="s">
        <v>14</v>
      </c>
      <c r="B5" s="118" t="s">
        <v>15</v>
      </c>
      <c r="C5" s="138" t="s">
        <v>1</v>
      </c>
      <c r="D5" s="485"/>
      <c r="E5" s="425"/>
      <c r="F5" s="4"/>
      <c r="H5" s="520"/>
      <c r="I5" s="324"/>
      <c r="K5" s="27"/>
      <c r="L5" s="27">
        <f t="shared" si="0"/>
        <v>0</v>
      </c>
    </row>
    <row r="6" spans="1:12" ht="25.35" customHeight="1" x14ac:dyDescent="0.25">
      <c r="A6" s="137" t="s">
        <v>16</v>
      </c>
      <c r="B6" s="118" t="s">
        <v>17</v>
      </c>
      <c r="C6" s="138" t="s">
        <v>1</v>
      </c>
      <c r="D6" s="486"/>
      <c r="E6" s="425"/>
      <c r="F6" s="4"/>
      <c r="H6" s="520"/>
      <c r="I6" s="324"/>
      <c r="K6" s="27"/>
      <c r="L6" s="27">
        <f t="shared" si="0"/>
        <v>0</v>
      </c>
    </row>
    <row r="7" spans="1:12" ht="25.35" customHeight="1" x14ac:dyDescent="0.25">
      <c r="A7" s="137" t="s">
        <v>18</v>
      </c>
      <c r="B7" s="118" t="s">
        <v>19</v>
      </c>
      <c r="C7" s="138" t="s">
        <v>1</v>
      </c>
      <c r="D7" s="485"/>
      <c r="E7" s="425"/>
      <c r="F7" s="4" t="s">
        <v>531</v>
      </c>
      <c r="H7" s="520"/>
      <c r="I7" s="324"/>
      <c r="K7" s="27"/>
      <c r="L7" s="27">
        <f t="shared" si="0"/>
        <v>0</v>
      </c>
    </row>
    <row r="8" spans="1:12" ht="30" customHeight="1" x14ac:dyDescent="0.25">
      <c r="A8" s="137" t="s">
        <v>43</v>
      </c>
      <c r="B8" s="105" t="s">
        <v>44</v>
      </c>
      <c r="C8" s="139" t="s">
        <v>45</v>
      </c>
      <c r="D8" s="487"/>
      <c r="E8" s="426"/>
      <c r="F8" s="605"/>
      <c r="H8" s="520"/>
      <c r="I8" s="322" t="str">
        <f>IF(E$7="X",IF(E8&lt;=0,"Il valore deve essere maggiore di zero",""),IF(E8&lt;&gt;0,"Non risulta gestita la distribuzione",""))</f>
        <v/>
      </c>
      <c r="K8" s="27"/>
      <c r="L8" s="27">
        <f t="shared" si="0"/>
        <v>0</v>
      </c>
    </row>
    <row r="9" spans="1:12" ht="30" customHeight="1" x14ac:dyDescent="0.25">
      <c r="A9" s="137" t="s">
        <v>46</v>
      </c>
      <c r="B9" s="105" t="s">
        <v>47</v>
      </c>
      <c r="C9" s="139" t="s">
        <v>45</v>
      </c>
      <c r="D9" s="488"/>
      <c r="E9" s="426"/>
      <c r="F9" s="605"/>
      <c r="H9" s="520"/>
      <c r="I9" s="322" t="str">
        <f>IF(E9&lt;0,"Il valore deve essere maggiore o uguale a zero","")</f>
        <v/>
      </c>
      <c r="K9" s="27"/>
      <c r="L9" s="27">
        <f t="shared" si="0"/>
        <v>0</v>
      </c>
    </row>
    <row r="10" spans="1:12" ht="30" customHeight="1" x14ac:dyDescent="0.25">
      <c r="A10" s="165" t="s">
        <v>561</v>
      </c>
      <c r="B10" s="151" t="s">
        <v>560</v>
      </c>
      <c r="C10" s="140" t="s">
        <v>552</v>
      </c>
      <c r="D10" s="487"/>
      <c r="E10" s="426"/>
      <c r="F10" s="605"/>
      <c r="H10" s="520"/>
      <c r="I10" s="322" t="str">
        <f>IF(E$7="X",IF(E10&lt;=0,"Il valore deve essere maggiore di zero",""),IF(E10&lt;&gt;0,"Non risulta gestita la distribuzione",""))</f>
        <v/>
      </c>
      <c r="K10" s="27"/>
      <c r="L10" s="27">
        <f t="shared" si="0"/>
        <v>0</v>
      </c>
    </row>
    <row r="11" spans="1:12" ht="30" customHeight="1" x14ac:dyDescent="0.25">
      <c r="A11" s="165" t="s">
        <v>562</v>
      </c>
      <c r="B11" s="151" t="s">
        <v>563</v>
      </c>
      <c r="C11" s="140" t="s">
        <v>2338</v>
      </c>
      <c r="D11" s="488"/>
      <c r="E11" s="426"/>
      <c r="F11" s="605"/>
      <c r="H11" s="520"/>
      <c r="I11" s="322" t="str">
        <f>IF(E$7="X",IF(E11&lt;=0,"Il valore deve essere maggiore di zero",""),IF(E11&lt;&gt;0,"Non risulta gestita la distribuzione",""))</f>
        <v/>
      </c>
      <c r="K11" s="27"/>
      <c r="L11" s="27">
        <f t="shared" si="0"/>
        <v>0</v>
      </c>
    </row>
    <row r="12" spans="1:12" s="31" customFormat="1" ht="35.25" customHeight="1" x14ac:dyDescent="0.25">
      <c r="A12" s="145" t="s">
        <v>214</v>
      </c>
      <c r="B12" s="110" t="s">
        <v>215</v>
      </c>
      <c r="C12" s="173" t="s">
        <v>216</v>
      </c>
      <c r="D12" s="487"/>
      <c r="E12" s="426"/>
      <c r="F12" s="4" t="s">
        <v>529</v>
      </c>
      <c r="G12" s="19"/>
      <c r="H12" s="520"/>
      <c r="I12" s="322" t="str">
        <f>IF(E12&lt;0,"Il valore deve essere maggiore o uguale a zero","")</f>
        <v/>
      </c>
      <c r="J12" s="19"/>
      <c r="K12" s="27"/>
      <c r="L12" s="27">
        <f t="shared" si="0"/>
        <v>0</v>
      </c>
    </row>
    <row r="13" spans="1:12" s="31" customFormat="1" ht="55.5" customHeight="1" thickBot="1" x14ac:dyDescent="0.3">
      <c r="A13" s="159" t="s">
        <v>217</v>
      </c>
      <c r="B13" s="161" t="s">
        <v>218</v>
      </c>
      <c r="C13" s="174" t="s">
        <v>216</v>
      </c>
      <c r="D13" s="489"/>
      <c r="E13" s="427"/>
      <c r="F13" s="5" t="s">
        <v>3009</v>
      </c>
      <c r="G13" s="19"/>
      <c r="H13" s="521"/>
      <c r="I13" s="325" t="str">
        <f>IF(E13&lt;0,"Il valore deve essere maggiore o uguale a zero","")</f>
        <v/>
      </c>
      <c r="J13" s="19"/>
      <c r="K13" s="27"/>
      <c r="L13" s="27">
        <f t="shared" si="0"/>
        <v>0</v>
      </c>
    </row>
    <row r="14" spans="1:12" s="31" customFormat="1" ht="10.5" customHeight="1" x14ac:dyDescent="0.25">
      <c r="A14" s="28"/>
      <c r="B14" s="29"/>
      <c r="C14" s="28"/>
      <c r="D14" s="28"/>
      <c r="E14" s="28"/>
      <c r="F14" s="136"/>
      <c r="G14" s="19"/>
      <c r="H14" s="30"/>
      <c r="I14" s="30"/>
      <c r="J14" s="19"/>
      <c r="K14" s="27"/>
      <c r="L14" s="27">
        <f t="shared" si="0"/>
        <v>0</v>
      </c>
    </row>
    <row r="15" spans="1:12" s="31" customFormat="1" ht="18" thickBot="1" x14ac:dyDescent="0.3">
      <c r="A15" s="878" t="s">
        <v>3148</v>
      </c>
      <c r="B15" s="29"/>
      <c r="C15" s="28"/>
      <c r="D15" s="28"/>
      <c r="E15" s="28"/>
      <c r="F15" s="136"/>
      <c r="G15" s="19"/>
      <c r="H15" s="30"/>
      <c r="I15" s="30"/>
      <c r="J15" s="19"/>
      <c r="K15" s="27"/>
      <c r="L15" s="27">
        <f t="shared" si="0"/>
        <v>0</v>
      </c>
    </row>
    <row r="16" spans="1:12" s="31" customFormat="1" ht="35.25" customHeight="1" x14ac:dyDescent="0.25">
      <c r="A16" s="33" t="s">
        <v>2353</v>
      </c>
      <c r="B16" s="34" t="s">
        <v>86</v>
      </c>
      <c r="C16" s="263" t="s">
        <v>52</v>
      </c>
      <c r="D16" s="476"/>
      <c r="E16" s="219"/>
      <c r="F16" s="190" t="s">
        <v>550</v>
      </c>
      <c r="G16" s="19"/>
      <c r="H16" s="519"/>
      <c r="I16" s="206" t="str">
        <f>IF(E$3="SI",IF(E16&lt;=0,"Il valore deve essere maggiore di zero",""),IF(E16&lt;&gt;0,"Non risulta gestito il servizio di acquedotto",""))</f>
        <v/>
      </c>
      <c r="J16" s="19"/>
      <c r="K16" s="27"/>
      <c r="L16" s="27">
        <f t="shared" si="0"/>
        <v>0</v>
      </c>
    </row>
    <row r="17" spans="1:14" s="31" customFormat="1" ht="30" customHeight="1" x14ac:dyDescent="0.25">
      <c r="A17" s="141" t="s">
        <v>2354</v>
      </c>
      <c r="B17" s="86" t="s">
        <v>87</v>
      </c>
      <c r="C17" s="332" t="s">
        <v>52</v>
      </c>
      <c r="D17" s="444"/>
      <c r="E17" s="334"/>
      <c r="F17" s="203"/>
      <c r="G17" s="19"/>
      <c r="H17" s="520"/>
      <c r="I17" s="322" t="str">
        <f>IF(OR(E17&lt;0,E17&gt;E16),"Il valore deve essere maggiore o uguale a zero e minore o uguale a WPtot","")</f>
        <v/>
      </c>
      <c r="J17" s="19"/>
      <c r="K17" s="27"/>
      <c r="L17" s="27">
        <f t="shared" si="0"/>
        <v>0</v>
      </c>
    </row>
    <row r="18" spans="1:14" s="31" customFormat="1" ht="30" customHeight="1" x14ac:dyDescent="0.25">
      <c r="A18" s="142" t="s">
        <v>88</v>
      </c>
      <c r="B18" s="103" t="s">
        <v>89</v>
      </c>
      <c r="C18" s="266" t="s">
        <v>4</v>
      </c>
      <c r="D18" s="490"/>
      <c r="E18" s="336" t="str">
        <f t="shared" ref="E18" si="1">IF(AND(E16&gt;0,E17&gt;=0,E17&lt;=E16),E17/E16,"")</f>
        <v/>
      </c>
      <c r="F18" s="203" t="s">
        <v>90</v>
      </c>
      <c r="G18" s="19"/>
      <c r="H18" s="520"/>
      <c r="I18" s="322" t="str">
        <f>IF(AND(E$3="SI",E18=""),"Indicatore non calcolabile","")</f>
        <v/>
      </c>
      <c r="J18" s="19"/>
      <c r="K18" s="27"/>
      <c r="L18" s="27">
        <f t="shared" si="0"/>
        <v>0</v>
      </c>
    </row>
    <row r="19" spans="1:14" s="31" customFormat="1" ht="51" x14ac:dyDescent="0.25">
      <c r="A19" s="141" t="s">
        <v>2355</v>
      </c>
      <c r="B19" s="86" t="s">
        <v>91</v>
      </c>
      <c r="C19" s="332" t="s">
        <v>52</v>
      </c>
      <c r="D19" s="444"/>
      <c r="E19" s="334"/>
      <c r="F19" s="203" t="s">
        <v>2349</v>
      </c>
      <c r="G19" s="19"/>
      <c r="H19" s="520"/>
      <c r="I19" s="322" t="str">
        <f>IF(AND(E$3="SI",E19&lt;0),"Il valore deve essere maggiore o uguale a zero","")</f>
        <v/>
      </c>
      <c r="J19" s="19"/>
      <c r="K19" s="27"/>
      <c r="L19" s="27">
        <f t="shared" si="0"/>
        <v>0</v>
      </c>
    </row>
    <row r="20" spans="1:14" s="31" customFormat="1" ht="30" customHeight="1" x14ac:dyDescent="0.25">
      <c r="A20" s="141" t="s">
        <v>2356</v>
      </c>
      <c r="B20" s="86" t="s">
        <v>92</v>
      </c>
      <c r="C20" s="332" t="s">
        <v>52</v>
      </c>
      <c r="D20" s="473"/>
      <c r="E20" s="335"/>
      <c r="F20" s="203"/>
      <c r="G20" s="19"/>
      <c r="H20" s="520"/>
      <c r="I20" s="322" t="str">
        <f>IF(OR(E20&lt;0,E20&gt;E19),"Il valore deve essere maggiore o uguale a zero e minore o uguale a WUtot","")</f>
        <v/>
      </c>
      <c r="J20" s="19"/>
      <c r="K20" s="27"/>
      <c r="L20" s="27">
        <f t="shared" si="0"/>
        <v>0</v>
      </c>
    </row>
    <row r="21" spans="1:14" s="31" customFormat="1" ht="30" customHeight="1" x14ac:dyDescent="0.25">
      <c r="A21" s="142" t="s">
        <v>93</v>
      </c>
      <c r="B21" s="103" t="s">
        <v>94</v>
      </c>
      <c r="C21" s="266" t="s">
        <v>4</v>
      </c>
      <c r="D21" s="490"/>
      <c r="E21" s="336" t="str">
        <f t="shared" ref="E21" si="2">IF(AND(E19&gt;0,E20&gt;=0,E20&lt;=E19),E20/E19,"")</f>
        <v/>
      </c>
      <c r="F21" s="203" t="s">
        <v>90</v>
      </c>
      <c r="G21" s="19"/>
      <c r="H21" s="520"/>
      <c r="I21" s="322" t="str">
        <f>IF(AND(E$3="SI",E21=""),"Indicatore non calcolabile","")</f>
        <v/>
      </c>
      <c r="J21" s="19"/>
      <c r="K21" s="27"/>
      <c r="L21" s="27">
        <f t="shared" si="0"/>
        <v>0</v>
      </c>
    </row>
    <row r="22" spans="1:14" s="31" customFormat="1" ht="45" x14ac:dyDescent="0.25">
      <c r="A22" s="143" t="s">
        <v>500</v>
      </c>
      <c r="B22" s="104" t="s">
        <v>501</v>
      </c>
      <c r="C22" s="265" t="s">
        <v>1</v>
      </c>
      <c r="D22" s="490"/>
      <c r="E22" s="336" t="str">
        <f>IF(AND(E3="SI",E18="",E21=""),"",IF(AND(E3="SI",E18&gt;=0.7,E21=""),"SI",IF(E3="SI",IF(OR(E18&lt;0.7,E21&lt;0.9),"NO","SI"),"")))</f>
        <v/>
      </c>
      <c r="F22" s="191" t="s">
        <v>459</v>
      </c>
      <c r="G22" s="19"/>
      <c r="H22" s="520"/>
      <c r="I22" s="322" t="str">
        <f>IF(AND(E$3="SI",OR(E22="NO",E22="")),"Attenzione, prerequisito mancante","")</f>
        <v/>
      </c>
      <c r="J22" s="19"/>
      <c r="K22" s="27"/>
      <c r="L22" s="27">
        <f t="shared" si="0"/>
        <v>0</v>
      </c>
    </row>
    <row r="23" spans="1:14" s="31" customFormat="1" ht="45" x14ac:dyDescent="0.25">
      <c r="A23" s="143" t="s">
        <v>528</v>
      </c>
      <c r="B23" s="36" t="s">
        <v>502</v>
      </c>
      <c r="C23" s="266" t="s">
        <v>1</v>
      </c>
      <c r="D23" s="475"/>
      <c r="E23" s="337"/>
      <c r="F23" s="191" t="s">
        <v>3025</v>
      </c>
      <c r="G23" s="19"/>
      <c r="H23" s="520"/>
      <c r="I23" s="322" t="str">
        <f>IF(AND(E$3="SI",OR(E23="Non adeguato",E23="")),"Attenzione, prerequisito mancante","")</f>
        <v/>
      </c>
      <c r="J23" s="19"/>
      <c r="K23" s="27"/>
      <c r="L23" s="27">
        <f t="shared" si="0"/>
        <v>0</v>
      </c>
    </row>
    <row r="24" spans="1:14" s="31" customFormat="1" ht="37.5" customHeight="1" x14ac:dyDescent="0.25">
      <c r="A24" s="773" t="s">
        <v>3101</v>
      </c>
      <c r="B24" s="771" t="s">
        <v>3119</v>
      </c>
      <c r="C24" s="772" t="s">
        <v>1</v>
      </c>
      <c r="D24" s="769"/>
      <c r="E24" s="872"/>
      <c r="F24" s="766" t="s">
        <v>3100</v>
      </c>
      <c r="G24" s="19"/>
      <c r="H24" s="770"/>
      <c r="I24" s="232" t="str">
        <f>IF(E24="SI","Prestare attenzione alla confrontabilità con il macro-indicatore dell'anno base","")</f>
        <v/>
      </c>
      <c r="J24" s="19"/>
      <c r="K24" s="27"/>
      <c r="L24" s="27">
        <f t="shared" si="0"/>
        <v>0</v>
      </c>
      <c r="M24"/>
      <c r="N24"/>
    </row>
    <row r="25" spans="1:14" s="31" customFormat="1" ht="45" customHeight="1" thickBot="1" x14ac:dyDescent="0.3">
      <c r="A25" s="87" t="s">
        <v>49</v>
      </c>
      <c r="B25" s="88" t="s">
        <v>50</v>
      </c>
      <c r="C25" s="333" t="s">
        <v>1</v>
      </c>
      <c r="D25" s="431"/>
      <c r="E25" s="338"/>
      <c r="F25" s="192" t="s">
        <v>3026</v>
      </c>
      <c r="G25" s="19"/>
      <c r="H25" s="522"/>
      <c r="I25" s="371"/>
      <c r="J25" s="19"/>
      <c r="K25" s="27"/>
      <c r="L25" s="27">
        <f t="shared" si="0"/>
        <v>0</v>
      </c>
    </row>
    <row r="26" spans="1:14" ht="10.5" customHeight="1" x14ac:dyDescent="0.25">
      <c r="A26" s="38"/>
      <c r="B26" s="38"/>
      <c r="C26" s="38"/>
      <c r="D26" s="38"/>
      <c r="E26" s="38"/>
      <c r="F26" s="38"/>
      <c r="G26" s="38"/>
      <c r="H26" s="38"/>
      <c r="I26" s="38"/>
      <c r="J26" s="38"/>
      <c r="K26" s="27"/>
      <c r="L26" s="27">
        <f t="shared" si="0"/>
        <v>0</v>
      </c>
    </row>
    <row r="27" spans="1:14" s="31" customFormat="1" ht="18" thickBot="1" x14ac:dyDescent="0.3">
      <c r="A27" s="32" t="s">
        <v>48</v>
      </c>
      <c r="B27" s="29"/>
      <c r="C27" s="28"/>
      <c r="D27" s="28"/>
      <c r="E27" s="28"/>
      <c r="F27" s="136"/>
      <c r="G27" s="136"/>
      <c r="H27" s="136"/>
      <c r="I27" s="136"/>
      <c r="J27" s="19"/>
      <c r="K27" s="27"/>
      <c r="L27" s="27">
        <f t="shared" si="0"/>
        <v>0</v>
      </c>
    </row>
    <row r="28" spans="1:14" s="42" customFormat="1" ht="45.6" customHeight="1" x14ac:dyDescent="0.25">
      <c r="A28" s="39" t="s">
        <v>1600</v>
      </c>
      <c r="B28" s="40" t="s">
        <v>51</v>
      </c>
      <c r="C28" s="194" t="s">
        <v>52</v>
      </c>
      <c r="D28" s="429"/>
      <c r="E28" s="193"/>
      <c r="F28" s="190" t="s">
        <v>581</v>
      </c>
      <c r="G28" s="41"/>
      <c r="H28" s="519"/>
      <c r="I28" s="206" t="str">
        <f>IF(E3="SI",IF(OR(E28&lt;=0,E28=""),"Il valore deve essere maggiore di zero",""),IF(E28&lt;&gt;0,"Non risulta gestito il servizio di acquedotto",""))</f>
        <v/>
      </c>
      <c r="J28" s="41"/>
      <c r="K28" s="27"/>
      <c r="L28" s="27">
        <f t="shared" si="0"/>
        <v>0</v>
      </c>
    </row>
    <row r="29" spans="1:14" s="42" customFormat="1" ht="43.35" customHeight="1" x14ac:dyDescent="0.25">
      <c r="A29" s="242" t="s">
        <v>543</v>
      </c>
      <c r="B29" s="114" t="s">
        <v>593</v>
      </c>
      <c r="C29" s="195" t="s">
        <v>52</v>
      </c>
      <c r="D29" s="430"/>
      <c r="E29" s="341"/>
      <c r="F29" s="203" t="s">
        <v>545</v>
      </c>
      <c r="G29" s="41"/>
      <c r="H29" s="982"/>
      <c r="I29" s="983" t="str">
        <f>IF(AND(E3="SI",OR(E29&lt;0,E30&lt;0,E29+E30&lt;&gt;E28)),"Ogni di cui deve essere maggiore o uguale a zero e la somma deve essere pari a ∑WIN","")</f>
        <v/>
      </c>
      <c r="J29" s="41"/>
      <c r="K29" s="27"/>
      <c r="L29" s="27">
        <f t="shared" si="0"/>
        <v>0</v>
      </c>
    </row>
    <row r="30" spans="1:14" s="42" customFormat="1" ht="30.75" customHeight="1" x14ac:dyDescent="0.25">
      <c r="A30" s="242" t="s">
        <v>541</v>
      </c>
      <c r="B30" s="114" t="s">
        <v>557</v>
      </c>
      <c r="C30" s="195" t="s">
        <v>52</v>
      </c>
      <c r="D30" s="430"/>
      <c r="E30" s="341"/>
      <c r="F30" s="203" t="s">
        <v>558</v>
      </c>
      <c r="G30" s="41"/>
      <c r="H30" s="982"/>
      <c r="I30" s="983"/>
      <c r="J30" s="41"/>
      <c r="K30" s="27"/>
      <c r="L30" s="27">
        <f t="shared" si="0"/>
        <v>0</v>
      </c>
    </row>
    <row r="31" spans="1:14" s="42" customFormat="1" ht="63.75" x14ac:dyDescent="0.25">
      <c r="A31" s="144" t="s">
        <v>1601</v>
      </c>
      <c r="B31" s="105" t="s">
        <v>53</v>
      </c>
      <c r="C31" s="195" t="s">
        <v>52</v>
      </c>
      <c r="D31" s="430"/>
      <c r="E31" s="341"/>
      <c r="F31" s="214" t="s">
        <v>2350</v>
      </c>
      <c r="G31" s="41"/>
      <c r="H31" s="520"/>
      <c r="I31" s="322" t="str">
        <f>IF(E3="SI",IF(OR(E31&lt;=0,E31&gt;=E28),"Il valore deve essere maggiore di zero e inferiore a ∑W_IN",""),IF(E31&lt;&gt;0,"Non risulta gestito il servizio di acquedotto",""))</f>
        <v/>
      </c>
      <c r="J31" s="41"/>
      <c r="K31" s="27"/>
      <c r="L31" s="27">
        <f t="shared" si="0"/>
        <v>0</v>
      </c>
    </row>
    <row r="32" spans="1:14" ht="45" customHeight="1" x14ac:dyDescent="0.25">
      <c r="A32" s="145" t="s">
        <v>54</v>
      </c>
      <c r="B32" s="106" t="s">
        <v>55</v>
      </c>
      <c r="C32" s="195" t="s">
        <v>52</v>
      </c>
      <c r="D32" s="430"/>
      <c r="E32" s="341"/>
      <c r="F32" s="191" t="s">
        <v>2336</v>
      </c>
      <c r="H32" s="520"/>
      <c r="I32" s="322" t="str">
        <f>IF(OR(E32&lt;0,E32&gt;E31),"Il valore deve essere maggiore o uguale a zero e inferiore o uguale a ∑W_OUT","")</f>
        <v/>
      </c>
      <c r="K32" s="27"/>
      <c r="L32" s="27">
        <f t="shared" si="0"/>
        <v>0</v>
      </c>
    </row>
    <row r="33" spans="1:15" ht="43.5" customHeight="1" x14ac:dyDescent="0.25">
      <c r="A33" s="137" t="s">
        <v>544</v>
      </c>
      <c r="B33" s="114" t="s">
        <v>559</v>
      </c>
      <c r="C33" s="195" t="s">
        <v>52</v>
      </c>
      <c r="D33" s="430"/>
      <c r="E33" s="341"/>
      <c r="F33" s="203" t="s">
        <v>546</v>
      </c>
      <c r="H33" s="520"/>
      <c r="I33" s="322" t="str">
        <f>IF(OR(E33&lt;0,E33&gt;E31),"Il valore deve essere maggiore o uguale a zero e inferiore o uguale a ∑W_OUT","")</f>
        <v/>
      </c>
      <c r="K33" s="27"/>
      <c r="L33" s="27">
        <f t="shared" si="0"/>
        <v>0</v>
      </c>
    </row>
    <row r="34" spans="1:15" s="31" customFormat="1" ht="32.1" customHeight="1" x14ac:dyDescent="0.25">
      <c r="A34" s="137" t="s">
        <v>56</v>
      </c>
      <c r="B34" s="43" t="s">
        <v>57</v>
      </c>
      <c r="C34" s="195" t="s">
        <v>52</v>
      </c>
      <c r="D34" s="491"/>
      <c r="E34" s="342">
        <f>IF((E28-E31)&gt;=0,E28-E31,"")</f>
        <v>0</v>
      </c>
      <c r="F34" s="203"/>
      <c r="G34" s="19"/>
      <c r="H34" s="523"/>
      <c r="I34" s="326"/>
      <c r="J34" s="19"/>
      <c r="K34" s="27"/>
      <c r="L34" s="27">
        <f t="shared" ref="L34:L83" si="3">IF(I34="",0,1)</f>
        <v>0</v>
      </c>
    </row>
    <row r="35" spans="1:15" s="31" customFormat="1" ht="25.35" customHeight="1" x14ac:dyDescent="0.25">
      <c r="A35" s="141" t="s">
        <v>621</v>
      </c>
      <c r="B35" s="126" t="s">
        <v>622</v>
      </c>
      <c r="C35" s="195" t="s">
        <v>52</v>
      </c>
      <c r="D35" s="430"/>
      <c r="E35" s="341"/>
      <c r="F35" s="203"/>
      <c r="G35" s="19"/>
      <c r="H35" s="984"/>
      <c r="I35" s="985" t="str">
        <f>IF(OR(E35&lt;0,E36&lt;0,E37&lt;0,E38&lt;0,E35+E36+E37+E38&lt;&gt;E34),"Ogni di cui deve essere maggiore o uguale a zero e la somma deve essere pari a WL_TOT","")</f>
        <v/>
      </c>
      <c r="J35" s="19"/>
      <c r="K35" s="27"/>
      <c r="L35" s="27">
        <f t="shared" si="3"/>
        <v>0</v>
      </c>
    </row>
    <row r="36" spans="1:15" ht="25.35" customHeight="1" x14ac:dyDescent="0.25">
      <c r="A36" s="145" t="s">
        <v>58</v>
      </c>
      <c r="B36" s="126" t="s">
        <v>606</v>
      </c>
      <c r="C36" s="195" t="s">
        <v>52</v>
      </c>
      <c r="D36" s="430"/>
      <c r="E36" s="341"/>
      <c r="F36" s="191" t="s">
        <v>59</v>
      </c>
      <c r="H36" s="984"/>
      <c r="I36" s="985"/>
      <c r="K36" s="27"/>
      <c r="L36" s="27">
        <f t="shared" si="3"/>
        <v>0</v>
      </c>
    </row>
    <row r="37" spans="1:15" ht="25.35" customHeight="1" x14ac:dyDescent="0.25">
      <c r="A37" s="141" t="s">
        <v>623</v>
      </c>
      <c r="B37" s="126" t="s">
        <v>624</v>
      </c>
      <c r="C37" s="195" t="s">
        <v>52</v>
      </c>
      <c r="D37" s="430"/>
      <c r="E37" s="341"/>
      <c r="F37" s="191" t="s">
        <v>625</v>
      </c>
      <c r="H37" s="984"/>
      <c r="I37" s="985"/>
      <c r="K37" s="27"/>
      <c r="L37" s="27">
        <f t="shared" si="3"/>
        <v>0</v>
      </c>
    </row>
    <row r="38" spans="1:15" ht="25.35" customHeight="1" x14ac:dyDescent="0.25">
      <c r="A38" s="145" t="s">
        <v>60</v>
      </c>
      <c r="B38" s="107" t="s">
        <v>61</v>
      </c>
      <c r="C38" s="195" t="s">
        <v>52</v>
      </c>
      <c r="D38" s="430"/>
      <c r="E38" s="341"/>
      <c r="F38" s="191"/>
      <c r="H38" s="984"/>
      <c r="I38" s="985"/>
      <c r="K38" s="27"/>
      <c r="L38" s="27">
        <f t="shared" si="3"/>
        <v>0</v>
      </c>
    </row>
    <row r="39" spans="1:15" ht="32.1" customHeight="1" x14ac:dyDescent="0.25">
      <c r="A39" s="145" t="s">
        <v>62</v>
      </c>
      <c r="B39" s="108" t="s">
        <v>63</v>
      </c>
      <c r="C39" s="195" t="s">
        <v>52</v>
      </c>
      <c r="D39" s="430"/>
      <c r="E39" s="341"/>
      <c r="F39" s="191" t="s">
        <v>2333</v>
      </c>
      <c r="H39" s="520"/>
      <c r="I39" s="322" t="str">
        <f>IF(E7="X",IF(OR(E39&lt;=0,E39&gt;E28),"Il valore deve essere maggiore di zero e minore o uguale a ∑W_IN",""),IF(E39&lt;&gt;0,"Non risulta gestita la distribuzione",""))</f>
        <v/>
      </c>
      <c r="K39" s="27"/>
      <c r="L39" s="27">
        <f t="shared" si="3"/>
        <v>0</v>
      </c>
    </row>
    <row r="40" spans="1:15" ht="30" customHeight="1" x14ac:dyDescent="0.25">
      <c r="A40" s="145" t="s">
        <v>64</v>
      </c>
      <c r="B40" s="114" t="s">
        <v>65</v>
      </c>
      <c r="C40" s="195" t="s">
        <v>52</v>
      </c>
      <c r="D40" s="430"/>
      <c r="E40" s="341"/>
      <c r="F40" s="191" t="s">
        <v>66</v>
      </c>
      <c r="H40" s="520"/>
      <c r="I40" s="322" t="str">
        <f>IF(E7="X",IF(OR(E40&lt;=0,E40&gt;=E39),"Il valore deve essere maggiore di zero e minore di WD5",""),IF(E40&lt;&gt;0,"Non risulta gestita la distribuzione",""))</f>
        <v/>
      </c>
      <c r="K40" s="27"/>
      <c r="L40" s="27">
        <f t="shared" si="3"/>
        <v>0</v>
      </c>
    </row>
    <row r="41" spans="1:15" s="31" customFormat="1" ht="30" customHeight="1" x14ac:dyDescent="0.25">
      <c r="A41" s="145" t="s">
        <v>67</v>
      </c>
      <c r="B41" s="114" t="s">
        <v>68</v>
      </c>
      <c r="C41" s="195" t="s">
        <v>52</v>
      </c>
      <c r="D41" s="434"/>
      <c r="E41" s="343">
        <f t="shared" ref="E41" si="4">E39-E40</f>
        <v>0</v>
      </c>
      <c r="F41" s="191" t="s">
        <v>69</v>
      </c>
      <c r="G41" s="19"/>
      <c r="H41" s="520"/>
      <c r="I41" s="322" t="str">
        <f>IF(E41&lt;E38,"Il valore deve essere maggiore o uguale a WLD","")</f>
        <v/>
      </c>
      <c r="J41" s="19"/>
      <c r="K41" s="27"/>
      <c r="L41" s="27">
        <f t="shared" si="3"/>
        <v>0</v>
      </c>
    </row>
    <row r="42" spans="1:15" ht="32.1" customHeight="1" x14ac:dyDescent="0.25">
      <c r="A42" s="145" t="s">
        <v>70</v>
      </c>
      <c r="B42" s="105" t="s">
        <v>71</v>
      </c>
      <c r="C42" s="195" t="s">
        <v>2</v>
      </c>
      <c r="D42" s="430"/>
      <c r="E42" s="341"/>
      <c r="F42" s="191"/>
      <c r="H42" s="520"/>
      <c r="I42" s="322" t="str">
        <f>IF(E3="SI",IF(OR(E42&lt;=0,E42=""),"Il valore deve essere maggiore di zero",""),IF(E42&lt;&gt;0,"Non risulta gestito il servizio di acquedotto",""))</f>
        <v/>
      </c>
      <c r="K42" s="27"/>
      <c r="L42" s="27">
        <f t="shared" si="3"/>
        <v>0</v>
      </c>
    </row>
    <row r="43" spans="1:15" ht="21.95" customHeight="1" x14ac:dyDescent="0.25">
      <c r="A43" s="145" t="s">
        <v>72</v>
      </c>
      <c r="B43" s="107" t="s">
        <v>73</v>
      </c>
      <c r="C43" s="195" t="s">
        <v>2</v>
      </c>
      <c r="D43" s="430"/>
      <c r="E43" s="341"/>
      <c r="F43" s="191"/>
      <c r="H43" s="984"/>
      <c r="I43" s="985" t="str">
        <f>IF(AND(E3="SI",OR(E43&lt;0,E44&lt;0,E44+E43&lt;&gt;E42)),"Ogni di cui deve essere maggiore o uguale a zero e la somma deve essere pari a Lp","")</f>
        <v/>
      </c>
      <c r="K43" s="27"/>
      <c r="L43" s="27">
        <f t="shared" si="3"/>
        <v>0</v>
      </c>
    </row>
    <row r="44" spans="1:15" ht="26.25" customHeight="1" x14ac:dyDescent="0.25">
      <c r="A44" s="141" t="s">
        <v>74</v>
      </c>
      <c r="B44" s="126" t="s">
        <v>75</v>
      </c>
      <c r="C44" s="195" t="s">
        <v>2</v>
      </c>
      <c r="D44" s="430"/>
      <c r="E44" s="341"/>
      <c r="F44" s="191"/>
      <c r="H44" s="984"/>
      <c r="I44" s="985"/>
      <c r="K44" s="27"/>
      <c r="L44" s="27">
        <f t="shared" si="3"/>
        <v>0</v>
      </c>
    </row>
    <row r="45" spans="1:15" s="31" customFormat="1" ht="30" customHeight="1" x14ac:dyDescent="0.25">
      <c r="A45" s="938" t="s">
        <v>76</v>
      </c>
      <c r="B45" s="939" t="s">
        <v>77</v>
      </c>
      <c r="C45" s="940" t="s">
        <v>78</v>
      </c>
      <c r="D45" s="483"/>
      <c r="E45" s="941" t="str">
        <f>IF(AND(E42&gt;0,E34&gt;0,E24&lt;&gt;"SI"),E34/(365*(E42+0.22*E44)),IF(AND(E42&gt;0,E34&gt;0,E24="SI",'QT-Altri dati'!E67&gt;0),E34/(365*(E42+'QT-Altri dati'!E67)),""))</f>
        <v/>
      </c>
      <c r="F45" s="603" t="s">
        <v>3155</v>
      </c>
      <c r="G45" s="19"/>
      <c r="H45" s="520"/>
      <c r="I45" s="322" t="str">
        <f>IF(AND(E$3="SI",E45=""),"Indicatore non calcolabile","")</f>
        <v/>
      </c>
      <c r="J45" s="19"/>
      <c r="K45" s="27"/>
      <c r="L45" s="27">
        <f t="shared" si="3"/>
        <v>0</v>
      </c>
      <c r="M45"/>
      <c r="N45"/>
      <c r="O45"/>
    </row>
    <row r="46" spans="1:15" s="31" customFormat="1" ht="30" customHeight="1" x14ac:dyDescent="0.25">
      <c r="A46" s="142" t="s">
        <v>80</v>
      </c>
      <c r="B46" s="103" t="s">
        <v>81</v>
      </c>
      <c r="C46" s="267" t="s">
        <v>4</v>
      </c>
      <c r="D46" s="492"/>
      <c r="E46" s="345" t="str">
        <f>IF(AND(E28&gt;0,E34&gt;0,E34&lt;=E28),E34/E28,"")</f>
        <v/>
      </c>
      <c r="F46" s="191" t="s">
        <v>79</v>
      </c>
      <c r="G46" s="19"/>
      <c r="H46" s="520"/>
      <c r="I46" s="322" t="str">
        <f>IF(AND(E$3="SI",E46=""),"Indicatore non calcolabile","")</f>
        <v/>
      </c>
      <c r="J46" s="19"/>
      <c r="K46" s="27"/>
      <c r="L46" s="27">
        <f t="shared" si="3"/>
        <v>0</v>
      </c>
    </row>
    <row r="47" spans="1:15" s="31" customFormat="1" ht="42.75" customHeight="1" x14ac:dyDescent="0.25">
      <c r="A47" s="142" t="s">
        <v>82</v>
      </c>
      <c r="B47" s="103" t="s">
        <v>83</v>
      </c>
      <c r="C47" s="267" t="s">
        <v>1</v>
      </c>
      <c r="D47" s="479"/>
      <c r="E47" s="308" t="str">
        <f>IF(OR(E45="",E46=""),"",IF(AND(E45&lt;12,E46&lt;0.2),"A",IF(AND(E45&lt;20,E46&lt;0.35),"B",IF(AND(E45&lt;35,E46&lt;0.45),"C",IF(AND(E45&lt;55,E46&lt;0.55),"D","E")))))</f>
        <v/>
      </c>
      <c r="F47" s="191" t="s">
        <v>2515</v>
      </c>
      <c r="G47" s="19"/>
      <c r="H47" s="525"/>
      <c r="I47" s="321"/>
      <c r="J47" s="19"/>
      <c r="K47" s="27"/>
      <c r="L47" s="27">
        <f t="shared" si="3"/>
        <v>0</v>
      </c>
    </row>
    <row r="48" spans="1:15" s="31" customFormat="1" ht="30" customHeight="1" x14ac:dyDescent="0.25">
      <c r="A48" s="142" t="s">
        <v>84</v>
      </c>
      <c r="B48" s="103" t="s">
        <v>85</v>
      </c>
      <c r="C48" s="267" t="s">
        <v>1</v>
      </c>
      <c r="D48" s="479"/>
      <c r="E48" s="308" t="str">
        <f>IF(E47="A","Mantenimento",IF(E47="B","-2% di M1a",IF(E47="C","-4% di M1a",IF(E47="D","-5% di M1a",IF(E47="E","-6% di M1a","")))))</f>
        <v/>
      </c>
      <c r="F48" s="214"/>
      <c r="G48" s="19"/>
      <c r="H48" s="525"/>
      <c r="I48" s="321"/>
      <c r="J48" s="19"/>
      <c r="K48" s="27"/>
      <c r="L48" s="27">
        <f t="shared" si="3"/>
        <v>0</v>
      </c>
    </row>
    <row r="49" spans="1:12" ht="82.9" customHeight="1" x14ac:dyDescent="0.25">
      <c r="A49" s="141" t="s">
        <v>613</v>
      </c>
      <c r="B49" s="241" t="s">
        <v>1604</v>
      </c>
      <c r="C49" s="195" t="s">
        <v>52</v>
      </c>
      <c r="D49" s="430"/>
      <c r="E49" s="341"/>
      <c r="F49" s="191" t="s">
        <v>2893</v>
      </c>
      <c r="H49" s="520"/>
      <c r="I49" s="322" t="str">
        <f>IF(E3="SI",IF(OR(E49&lt;0,E49&gt;E16),"Il valore deve essere maggiore o uguale a zero e minore o uguale a WPtot",""),IF(E49&lt;&gt;0,"Non risulta gestito il servizio di acquedotto",""))</f>
        <v/>
      </c>
      <c r="K49" s="27"/>
      <c r="L49" s="27">
        <f t="shared" si="3"/>
        <v>0</v>
      </c>
    </row>
    <row r="50" spans="1:12" ht="25.35" customHeight="1" x14ac:dyDescent="0.25">
      <c r="A50" s="141" t="s">
        <v>2370</v>
      </c>
      <c r="B50" s="126" t="s">
        <v>607</v>
      </c>
      <c r="C50" s="195" t="s">
        <v>52</v>
      </c>
      <c r="D50" s="430"/>
      <c r="E50" s="341"/>
      <c r="F50" s="191" t="s">
        <v>612</v>
      </c>
      <c r="H50" s="520"/>
      <c r="I50" s="322" t="str">
        <f>IF(OR(E50&lt;0,E50&gt;E49),"Il valore deve essere maggiore o uguale a zero e inferiore o uguale a WPem","")</f>
        <v/>
      </c>
      <c r="K50" s="27"/>
      <c r="L50" s="27">
        <f t="shared" si="3"/>
        <v>0</v>
      </c>
    </row>
    <row r="51" spans="1:12" ht="82.9" customHeight="1" x14ac:dyDescent="0.25">
      <c r="A51" s="141" t="s">
        <v>614</v>
      </c>
      <c r="B51" s="241" t="s">
        <v>1603</v>
      </c>
      <c r="C51" s="195" t="s">
        <v>52</v>
      </c>
      <c r="D51" s="430"/>
      <c r="E51" s="341"/>
      <c r="F51" s="191" t="s">
        <v>2894</v>
      </c>
      <c r="H51" s="520"/>
      <c r="I51" s="322" t="str">
        <f>IF(E3="SI",IF(OR(E51&lt;0,E51&gt;E19),"Il valore deve essere maggiore o uguale a zero e minore o uguale a WUtot",""),IF(E51&lt;&gt;0,"Non risulta gestito il servizio di acquedotto",""))</f>
        <v/>
      </c>
      <c r="K51" s="27"/>
      <c r="L51" s="27">
        <f t="shared" si="3"/>
        <v>0</v>
      </c>
    </row>
    <row r="52" spans="1:12" ht="25.35" customHeight="1" x14ac:dyDescent="0.25">
      <c r="A52" s="141" t="s">
        <v>2371</v>
      </c>
      <c r="B52" s="126" t="s">
        <v>607</v>
      </c>
      <c r="C52" s="195" t="s">
        <v>52</v>
      </c>
      <c r="D52" s="430"/>
      <c r="E52" s="341"/>
      <c r="F52" s="191" t="s">
        <v>612</v>
      </c>
      <c r="H52" s="520"/>
      <c r="I52" s="322" t="str">
        <f>IF(OR(E52&lt;0,E52&gt;E51),"Il valore deve essere maggiore o uguale a zero e inferiore o uguale a WUem","")</f>
        <v/>
      </c>
      <c r="K52" s="27"/>
      <c r="L52" s="27">
        <f t="shared" si="3"/>
        <v>0</v>
      </c>
    </row>
    <row r="53" spans="1:12" ht="25.35" customHeight="1" thickBot="1" x14ac:dyDescent="0.3">
      <c r="A53" s="274" t="s">
        <v>95</v>
      </c>
      <c r="B53" s="275" t="s">
        <v>96</v>
      </c>
      <c r="C53" s="339" t="s">
        <v>4</v>
      </c>
      <c r="D53" s="493"/>
      <c r="E53" s="346"/>
      <c r="F53" s="340" t="s">
        <v>2440</v>
      </c>
      <c r="H53" s="526"/>
      <c r="I53" s="372"/>
      <c r="K53" s="27"/>
      <c r="L53" s="27">
        <f t="shared" si="3"/>
        <v>0</v>
      </c>
    </row>
    <row r="54" spans="1:12" s="31" customFormat="1" ht="10.35" customHeight="1" x14ac:dyDescent="0.25">
      <c r="A54" s="28"/>
      <c r="B54" s="29"/>
      <c r="C54" s="28"/>
      <c r="D54" s="28"/>
      <c r="E54" s="28"/>
      <c r="F54" s="136"/>
      <c r="G54" s="136"/>
      <c r="H54" s="136"/>
      <c r="I54" s="136"/>
      <c r="J54" s="19"/>
      <c r="K54" s="27"/>
      <c r="L54" s="27">
        <f t="shared" si="3"/>
        <v>0</v>
      </c>
    </row>
    <row r="55" spans="1:12" ht="18" thickBot="1" x14ac:dyDescent="0.3">
      <c r="A55" s="276" t="s">
        <v>2446</v>
      </c>
    </row>
    <row r="56" spans="1:12" s="31" customFormat="1" ht="44.25" customHeight="1" x14ac:dyDescent="0.25">
      <c r="A56" s="33" t="s">
        <v>2450</v>
      </c>
      <c r="B56" s="34" t="s">
        <v>2366</v>
      </c>
      <c r="C56" s="263" t="s">
        <v>52</v>
      </c>
      <c r="D56" s="476"/>
      <c r="E56" s="219"/>
      <c r="F56" s="190" t="s">
        <v>2358</v>
      </c>
      <c r="G56" s="19"/>
      <c r="H56" s="519"/>
      <c r="I56" s="206" t="str">
        <f>IF(OR(E56&lt;0,E56&gt;E19),"Il valore deve essere maggiore o uguale a zero e minore o uguale a WUtot","")</f>
        <v/>
      </c>
      <c r="J56" s="19"/>
      <c r="K56" s="27"/>
      <c r="L56" s="27">
        <f t="shared" ref="L56:L70" si="5">IF(I56="",0,1)</f>
        <v>0</v>
      </c>
    </row>
    <row r="57" spans="1:12" s="31" customFormat="1" ht="51.75" customHeight="1" x14ac:dyDescent="0.25">
      <c r="A57" s="141" t="s">
        <v>2451</v>
      </c>
      <c r="B57" s="152" t="s">
        <v>2367</v>
      </c>
      <c r="C57" s="260" t="s">
        <v>52</v>
      </c>
      <c r="D57" s="444"/>
      <c r="E57" s="334"/>
      <c r="F57" s="191"/>
      <c r="G57" s="19"/>
      <c r="H57" s="984"/>
      <c r="I57" s="985" t="str">
        <f>IF(AND(E3="SI",OR(E57&lt;0,E58&lt;0,E58+E57&lt;&gt;E56)),"Ogni di cui deve essere maggiore o uguale a zero e la somma deve essere pari a WUval","")</f>
        <v/>
      </c>
      <c r="J57" s="19"/>
      <c r="K57" s="27"/>
      <c r="L57" s="27">
        <f t="shared" si="5"/>
        <v>0</v>
      </c>
    </row>
    <row r="58" spans="1:12" s="31" customFormat="1" ht="48.75" customHeight="1" x14ac:dyDescent="0.25">
      <c r="A58" s="141" t="s">
        <v>2452</v>
      </c>
      <c r="B58" s="152" t="s">
        <v>2368</v>
      </c>
      <c r="C58" s="260" t="s">
        <v>52</v>
      </c>
      <c r="D58" s="444"/>
      <c r="E58" s="334"/>
      <c r="F58" s="191"/>
      <c r="G58" s="19"/>
      <c r="H58" s="984"/>
      <c r="I58" s="985"/>
      <c r="J58" s="19"/>
      <c r="K58" s="27"/>
      <c r="L58" s="27">
        <f t="shared" si="5"/>
        <v>0</v>
      </c>
    </row>
    <row r="59" spans="1:12" s="31" customFormat="1" ht="30" customHeight="1" x14ac:dyDescent="0.25">
      <c r="A59" s="142" t="s">
        <v>2453</v>
      </c>
      <c r="B59" s="103" t="s">
        <v>2357</v>
      </c>
      <c r="C59" s="267" t="s">
        <v>4</v>
      </c>
      <c r="D59" s="492"/>
      <c r="E59" s="345" t="str">
        <f>IF(AND(E56&gt;0,E19&gt;0),E56/E19,"")</f>
        <v/>
      </c>
      <c r="F59" s="191" t="s">
        <v>2430</v>
      </c>
      <c r="G59" s="19"/>
      <c r="H59" s="520"/>
      <c r="I59" s="324"/>
      <c r="J59" s="19"/>
      <c r="K59" s="27"/>
      <c r="L59" s="27">
        <f t="shared" si="5"/>
        <v>0</v>
      </c>
    </row>
    <row r="60" spans="1:12" s="31" customFormat="1" ht="69" customHeight="1" x14ac:dyDescent="0.25">
      <c r="A60" s="141" t="s">
        <v>2454</v>
      </c>
      <c r="B60" s="86" t="s">
        <v>2424</v>
      </c>
      <c r="C60" s="260" t="s">
        <v>52</v>
      </c>
      <c r="D60" s="444"/>
      <c r="E60" s="334"/>
      <c r="F60" s="191" t="s">
        <v>2369</v>
      </c>
      <c r="G60" s="19"/>
      <c r="H60" s="520"/>
      <c r="I60" s="322" t="str">
        <f>IF(OR(E60&lt;0,E60&gt;E16),"Il valore deve essere maggiore o uguale a zero e minore o uguale a WPtot","")</f>
        <v/>
      </c>
      <c r="J60" s="19"/>
      <c r="K60" s="27"/>
      <c r="L60" s="27">
        <f t="shared" si="5"/>
        <v>0</v>
      </c>
    </row>
    <row r="61" spans="1:12" s="31" customFormat="1" ht="30" customHeight="1" x14ac:dyDescent="0.25">
      <c r="A61" s="142" t="s">
        <v>2455</v>
      </c>
      <c r="B61" s="103" t="s">
        <v>2359</v>
      </c>
      <c r="C61" s="267" t="s">
        <v>4</v>
      </c>
      <c r="D61" s="492"/>
      <c r="E61" s="345" t="str">
        <f>IF(AND(E60&gt;0,E16&gt;0),E60/E16,"")</f>
        <v/>
      </c>
      <c r="F61" s="191" t="s">
        <v>2431</v>
      </c>
      <c r="G61" s="19"/>
      <c r="H61" s="520"/>
      <c r="I61" s="324"/>
      <c r="J61" s="19"/>
      <c r="K61" s="27"/>
      <c r="L61" s="27">
        <f t="shared" si="5"/>
        <v>0</v>
      </c>
    </row>
    <row r="62" spans="1:12" s="31" customFormat="1" ht="44.25" customHeight="1" x14ac:dyDescent="0.25">
      <c r="A62" s="141" t="s">
        <v>2456</v>
      </c>
      <c r="B62" s="241" t="s">
        <v>2432</v>
      </c>
      <c r="C62" s="260" t="s">
        <v>52</v>
      </c>
      <c r="D62" s="430"/>
      <c r="E62" s="341"/>
      <c r="F62" s="191" t="s">
        <v>2360</v>
      </c>
      <c r="G62" s="19"/>
      <c r="H62" s="520"/>
      <c r="I62" s="322" t="str">
        <f>IF(OR(E62&lt;0,E62&gt;E19),"Il valore deve essere maggiore o uguale a zero e minore o uguale a WUtot","")</f>
        <v/>
      </c>
      <c r="J62" s="19"/>
      <c r="K62" s="27"/>
      <c r="L62" s="27">
        <f t="shared" si="5"/>
        <v>0</v>
      </c>
    </row>
    <row r="63" spans="1:12" s="31" customFormat="1" ht="30" customHeight="1" x14ac:dyDescent="0.25">
      <c r="A63" s="141" t="s">
        <v>2457</v>
      </c>
      <c r="B63" s="152" t="s">
        <v>2365</v>
      </c>
      <c r="C63" s="260" t="s">
        <v>52</v>
      </c>
      <c r="D63" s="430"/>
      <c r="E63" s="341"/>
      <c r="F63" s="191" t="s">
        <v>2361</v>
      </c>
      <c r="G63" s="19"/>
      <c r="H63" s="520"/>
      <c r="I63" s="322" t="str">
        <f>IF(OR(E63&lt;0,E63&gt;E62),"Il valore deve essere maggiore o uguale a zero e minore o uguale a WUsm","")</f>
        <v/>
      </c>
      <c r="J63" s="19"/>
      <c r="K63" s="27"/>
      <c r="L63" s="27">
        <f t="shared" si="5"/>
        <v>0</v>
      </c>
    </row>
    <row r="64" spans="1:12" s="31" customFormat="1" ht="30" customHeight="1" x14ac:dyDescent="0.25">
      <c r="A64" s="142" t="s">
        <v>2458</v>
      </c>
      <c r="B64" s="103" t="s">
        <v>2362</v>
      </c>
      <c r="C64" s="267" t="s">
        <v>4</v>
      </c>
      <c r="D64" s="492"/>
      <c r="E64" s="345" t="str">
        <f>IF(AND(E63&gt;0,E19&gt;0),E63/E19,"")</f>
        <v/>
      </c>
      <c r="F64" s="191" t="s">
        <v>2433</v>
      </c>
      <c r="G64" s="19"/>
      <c r="H64" s="520"/>
      <c r="I64" s="324"/>
      <c r="J64" s="19"/>
      <c r="K64" s="27"/>
      <c r="L64" s="27">
        <f t="shared" si="5"/>
        <v>0</v>
      </c>
    </row>
    <row r="65" spans="1:12" s="31" customFormat="1" ht="44.25" customHeight="1" x14ac:dyDescent="0.25">
      <c r="A65" s="141" t="s">
        <v>2459</v>
      </c>
      <c r="B65" s="241" t="s">
        <v>2435</v>
      </c>
      <c r="C65" s="260" t="s">
        <v>52</v>
      </c>
      <c r="D65" s="430"/>
      <c r="E65" s="341"/>
      <c r="F65" s="191" t="s">
        <v>2360</v>
      </c>
      <c r="G65" s="19"/>
      <c r="H65" s="520"/>
      <c r="I65" s="322" t="str">
        <f>IF(OR(E65&lt;0,E65&gt;E16),"Il valore deve essere maggiore o uguale a zero e minore o uguale a WPtot","")</f>
        <v/>
      </c>
      <c r="J65" s="19"/>
      <c r="K65" s="27"/>
      <c r="L65" s="27">
        <f t="shared" si="5"/>
        <v>0</v>
      </c>
    </row>
    <row r="66" spans="1:12" s="31" customFormat="1" ht="30" customHeight="1" x14ac:dyDescent="0.25">
      <c r="A66" s="141" t="s">
        <v>2460</v>
      </c>
      <c r="B66" s="152" t="s">
        <v>2364</v>
      </c>
      <c r="C66" s="260" t="s">
        <v>52</v>
      </c>
      <c r="D66" s="430"/>
      <c r="E66" s="341"/>
      <c r="F66" s="191" t="s">
        <v>2361</v>
      </c>
      <c r="G66" s="19"/>
      <c r="H66" s="520"/>
      <c r="I66" s="322" t="str">
        <f>IF(OR(E66&lt;0,E66&gt;E65),"Il valore deve essere maggiore o uguale a zero e minore o uguale a WPsm_tel","")</f>
        <v/>
      </c>
      <c r="J66" s="19"/>
      <c r="K66" s="27"/>
      <c r="L66" s="27">
        <f t="shared" si="5"/>
        <v>0</v>
      </c>
    </row>
    <row r="67" spans="1:12" s="31" customFormat="1" ht="30" customHeight="1" x14ac:dyDescent="0.25">
      <c r="A67" s="142" t="s">
        <v>2461</v>
      </c>
      <c r="B67" s="103" t="s">
        <v>2363</v>
      </c>
      <c r="C67" s="267" t="s">
        <v>4</v>
      </c>
      <c r="D67" s="492"/>
      <c r="E67" s="345" t="str">
        <f>IF(AND(E66&gt;0,E16&gt;0),E66/E16,"")</f>
        <v/>
      </c>
      <c r="F67" s="191" t="s">
        <v>2434</v>
      </c>
      <c r="G67" s="19"/>
      <c r="H67" s="520"/>
      <c r="I67" s="324"/>
      <c r="J67" s="19"/>
      <c r="K67" s="27"/>
      <c r="L67" s="27">
        <f t="shared" si="5"/>
        <v>0</v>
      </c>
    </row>
    <row r="68" spans="1:12" ht="32.1" customHeight="1" x14ac:dyDescent="0.25">
      <c r="A68" s="141" t="s">
        <v>2420</v>
      </c>
      <c r="B68" s="241" t="s">
        <v>2442</v>
      </c>
      <c r="C68" s="195" t="s">
        <v>52</v>
      </c>
      <c r="D68" s="430"/>
      <c r="E68" s="341"/>
      <c r="F68" s="191" t="s">
        <v>2441</v>
      </c>
      <c r="H68" s="984"/>
      <c r="I68" s="985" t="str">
        <f>IF(AND(E3="SI",OR(E68&lt;0,E69&lt;0,ROUND((E69+E68)&lt;&gt;(E40+E33),0))),"La somma di Wm,F e Wnm,F non coincide con il valore di (RW+Wesp): motivare in relazione, anche con riferimento al bilancio idrico della rete di adduzione","")</f>
        <v/>
      </c>
      <c r="K68" s="27"/>
      <c r="L68" s="27">
        <f t="shared" si="5"/>
        <v>0</v>
      </c>
    </row>
    <row r="69" spans="1:12" ht="32.1" customHeight="1" x14ac:dyDescent="0.25">
      <c r="A69" s="141" t="s">
        <v>2421</v>
      </c>
      <c r="B69" s="241" t="s">
        <v>2443</v>
      </c>
      <c r="C69" s="195" t="s">
        <v>52</v>
      </c>
      <c r="D69" s="430"/>
      <c r="E69" s="341"/>
      <c r="F69" s="191"/>
      <c r="H69" s="984"/>
      <c r="I69" s="985"/>
      <c r="K69" s="27"/>
      <c r="L69" s="27">
        <f t="shared" si="5"/>
        <v>0</v>
      </c>
    </row>
    <row r="70" spans="1:12" ht="32.1" customHeight="1" x14ac:dyDescent="0.25">
      <c r="A70" s="141" t="s">
        <v>2422</v>
      </c>
      <c r="B70" s="241" t="s">
        <v>2426</v>
      </c>
      <c r="C70" s="195" t="s">
        <v>52</v>
      </c>
      <c r="D70" s="430"/>
      <c r="E70" s="341"/>
      <c r="F70" s="191" t="s">
        <v>2436</v>
      </c>
      <c r="H70" s="984"/>
      <c r="I70" s="985" t="str">
        <f>IF(AND(E3="SI",OR(E70&lt;0,E71&lt;0,ROUND((E71+E70)&lt;&gt;(E41-E38),0))),"La somma di Wm,NF e Wnm,NF non coincide con il valore di (NRW-WLD): motivare in relazione, anche con riferimento al bilancio idrico della rete di adduzione","")</f>
        <v/>
      </c>
      <c r="K70" s="27"/>
      <c r="L70" s="27">
        <f t="shared" si="5"/>
        <v>0</v>
      </c>
    </row>
    <row r="71" spans="1:12" ht="32.1" customHeight="1" x14ac:dyDescent="0.25">
      <c r="A71" s="141" t="s">
        <v>2423</v>
      </c>
      <c r="B71" s="241" t="s">
        <v>2427</v>
      </c>
      <c r="C71" s="195" t="s">
        <v>52</v>
      </c>
      <c r="D71" s="430"/>
      <c r="E71" s="341"/>
      <c r="F71" s="191" t="s">
        <v>2436</v>
      </c>
      <c r="H71" s="986"/>
      <c r="I71" s="987"/>
      <c r="K71" s="27"/>
      <c r="L71" s="27">
        <f t="shared" ref="L71:L73" si="6">IF(I71="",0,1)</f>
        <v>0</v>
      </c>
    </row>
    <row r="72" spans="1:12" ht="32.1" customHeight="1" x14ac:dyDescent="0.25">
      <c r="A72" s="141" t="s">
        <v>2518</v>
      </c>
      <c r="B72" s="241" t="s">
        <v>2517</v>
      </c>
      <c r="C72" s="195" t="s">
        <v>52</v>
      </c>
      <c r="D72" s="494"/>
      <c r="E72" s="342">
        <f>E68-E33</f>
        <v>0</v>
      </c>
      <c r="F72" s="191"/>
      <c r="H72" s="524"/>
      <c r="I72" s="323"/>
      <c r="K72" s="27"/>
      <c r="L72" s="27">
        <f t="shared" si="6"/>
        <v>0</v>
      </c>
    </row>
    <row r="73" spans="1:12" ht="32.1" customHeight="1" thickBot="1" x14ac:dyDescent="0.3">
      <c r="A73" s="560" t="s">
        <v>2519</v>
      </c>
      <c r="B73" s="561" t="s">
        <v>2520</v>
      </c>
      <c r="C73" s="562" t="s">
        <v>4</v>
      </c>
      <c r="D73" s="495"/>
      <c r="E73" s="347" t="str">
        <f>IF(E72=0,"",E71/E72)</f>
        <v/>
      </c>
      <c r="F73" s="340" t="s">
        <v>2521</v>
      </c>
      <c r="H73" s="527"/>
      <c r="I73" s="373" t="str">
        <f>IF(AND(E3="SI",E73&gt;(0.5/100)),"Il volume autorizzato, non misurato e non fatturato eccede lo 0,5% del volume autorizzato, misurato e fatturato (esclusa acqua esportata): motivare in relazione","")</f>
        <v/>
      </c>
      <c r="K73" s="27"/>
      <c r="L73" s="27">
        <f t="shared" si="6"/>
        <v>0</v>
      </c>
    </row>
    <row r="74" spans="1:12" s="31" customFormat="1" ht="10.35" customHeight="1" x14ac:dyDescent="0.25">
      <c r="A74" s="28"/>
      <c r="B74" s="29"/>
      <c r="C74" s="28"/>
      <c r="D74" s="28"/>
      <c r="E74" s="28"/>
      <c r="F74" s="136"/>
      <c r="G74" s="136"/>
      <c r="H74" s="136"/>
      <c r="I74" s="136"/>
      <c r="J74" s="19"/>
      <c r="K74" s="27"/>
      <c r="L74" s="27"/>
    </row>
    <row r="75" spans="1:12" s="31" customFormat="1" ht="18" thickBot="1" x14ac:dyDescent="0.3">
      <c r="A75" s="32" t="s">
        <v>460</v>
      </c>
      <c r="B75" s="29"/>
      <c r="C75" s="28"/>
      <c r="D75" s="28"/>
      <c r="E75" s="28"/>
      <c r="F75" s="136"/>
      <c r="G75" s="136"/>
      <c r="H75" s="136"/>
      <c r="I75" s="136"/>
      <c r="J75" s="19"/>
      <c r="K75" s="27"/>
      <c r="L75" s="27">
        <f t="shared" si="3"/>
        <v>0</v>
      </c>
    </row>
    <row r="76" spans="1:12" s="31" customFormat="1" ht="45" customHeight="1" x14ac:dyDescent="0.25">
      <c r="A76" s="45" t="s">
        <v>504</v>
      </c>
      <c r="B76" s="46" t="s">
        <v>503</v>
      </c>
      <c r="C76" s="348" t="s">
        <v>1</v>
      </c>
      <c r="D76" s="496"/>
      <c r="E76" s="259"/>
      <c r="F76" s="190" t="s">
        <v>2570</v>
      </c>
      <c r="G76" s="19"/>
      <c r="H76" s="519"/>
      <c r="I76" s="206" t="str">
        <f>IF(AND(E$3="SI",OR(E76="Non adeguato",E76="")),"Attenzione, prerequisito mancante","")</f>
        <v/>
      </c>
      <c r="J76" s="19"/>
      <c r="K76" s="27"/>
      <c r="L76" s="27">
        <f t="shared" si="3"/>
        <v>0</v>
      </c>
    </row>
    <row r="77" spans="1:12" s="31" customFormat="1" ht="45" customHeight="1" thickBot="1" x14ac:dyDescent="0.3">
      <c r="A77" s="87" t="s">
        <v>98</v>
      </c>
      <c r="B77" s="88" t="s">
        <v>99</v>
      </c>
      <c r="C77" s="333" t="s">
        <v>1</v>
      </c>
      <c r="D77" s="431"/>
      <c r="E77" s="338"/>
      <c r="F77" s="340" t="s">
        <v>3026</v>
      </c>
      <c r="G77" s="19"/>
      <c r="H77" s="526"/>
      <c r="I77" s="372"/>
      <c r="J77" s="19"/>
      <c r="K77" s="27"/>
      <c r="L77" s="27">
        <f t="shared" si="3"/>
        <v>0</v>
      </c>
    </row>
    <row r="78" spans="1:12" s="31" customFormat="1" ht="10.35" customHeight="1" x14ac:dyDescent="0.25">
      <c r="A78" s="28"/>
      <c r="B78" s="29"/>
      <c r="C78" s="28"/>
      <c r="D78" s="28"/>
      <c r="E78" s="28"/>
      <c r="F78" s="136"/>
      <c r="G78" s="19"/>
      <c r="H78" s="44"/>
      <c r="I78" s="44"/>
      <c r="J78" s="19"/>
      <c r="K78" s="27"/>
      <c r="L78" s="27">
        <f t="shared" si="3"/>
        <v>0</v>
      </c>
    </row>
    <row r="79" spans="1:12" s="31" customFormat="1" ht="18" thickBot="1" x14ac:dyDescent="0.3">
      <c r="A79" s="32" t="s">
        <v>97</v>
      </c>
      <c r="B79" s="29"/>
      <c r="C79" s="28"/>
      <c r="D79" s="28"/>
      <c r="E79" s="28"/>
      <c r="F79" s="136"/>
      <c r="G79" s="19"/>
      <c r="H79" s="44"/>
      <c r="I79" s="44"/>
      <c r="J79" s="19"/>
      <c r="K79" s="27"/>
      <c r="L79" s="27">
        <f t="shared" si="3"/>
        <v>0</v>
      </c>
    </row>
    <row r="80" spans="1:12" s="31" customFormat="1" ht="39.75" customHeight="1" x14ac:dyDescent="0.25">
      <c r="A80" s="47" t="s">
        <v>100</v>
      </c>
      <c r="B80" s="40" t="s">
        <v>101</v>
      </c>
      <c r="C80" s="194" t="s">
        <v>8</v>
      </c>
      <c r="D80" s="429"/>
      <c r="E80" s="193"/>
      <c r="F80" s="190" t="s">
        <v>3027</v>
      </c>
      <c r="G80" s="19"/>
      <c r="H80" s="519"/>
      <c r="I80" s="206" t="str">
        <f>IF(E80&lt;0,"Il valore deve essere maggiore o uguale a zero","")</f>
        <v/>
      </c>
      <c r="J80" s="19"/>
      <c r="K80" s="27"/>
      <c r="L80" s="27">
        <f t="shared" si="3"/>
        <v>0</v>
      </c>
    </row>
    <row r="81" spans="1:12" s="31" customFormat="1" ht="21.95" customHeight="1" x14ac:dyDescent="0.25">
      <c r="A81" s="145" t="s">
        <v>102</v>
      </c>
      <c r="B81" s="107" t="s">
        <v>103</v>
      </c>
      <c r="C81" s="195" t="s">
        <v>8</v>
      </c>
      <c r="D81" s="430"/>
      <c r="E81" s="341"/>
      <c r="F81" s="203" t="s">
        <v>104</v>
      </c>
      <c r="G81" s="19"/>
      <c r="H81" s="984"/>
      <c r="I81" s="985" t="str">
        <f>IF(OR(E81&lt;&gt;"",E82&lt;&gt;""),IF(OR(E81&lt;0,E82&lt;0,E82+E81&lt;&gt;E80),"Ogni di cui deve essere maggiore o uguale a zero e la somma deve essere pari a UtT",""),"")</f>
        <v/>
      </c>
      <c r="J81" s="19"/>
      <c r="K81" s="27"/>
      <c r="L81" s="27">
        <f t="shared" si="3"/>
        <v>0</v>
      </c>
    </row>
    <row r="82" spans="1:12" s="31" customFormat="1" ht="21.95" customHeight="1" x14ac:dyDescent="0.25">
      <c r="A82" s="145" t="s">
        <v>105</v>
      </c>
      <c r="B82" s="107" t="s">
        <v>106</v>
      </c>
      <c r="C82" s="195" t="s">
        <v>8</v>
      </c>
      <c r="D82" s="430"/>
      <c r="E82" s="341"/>
      <c r="F82" s="203" t="s">
        <v>104</v>
      </c>
      <c r="G82" s="19"/>
      <c r="H82" s="984"/>
      <c r="I82" s="985"/>
      <c r="J82" s="19"/>
      <c r="K82" s="27"/>
      <c r="L82" s="27">
        <f t="shared" si="3"/>
        <v>0</v>
      </c>
    </row>
    <row r="83" spans="1:12" s="31" customFormat="1" ht="30" x14ac:dyDescent="0.25">
      <c r="A83" s="145" t="s">
        <v>107</v>
      </c>
      <c r="B83" s="25" t="s">
        <v>108</v>
      </c>
      <c r="C83" s="195" t="s">
        <v>8</v>
      </c>
      <c r="D83" s="430"/>
      <c r="E83" s="341"/>
      <c r="F83" s="202" t="s">
        <v>302</v>
      </c>
      <c r="G83" s="19"/>
      <c r="H83" s="520"/>
      <c r="I83" s="322" t="str">
        <f>IF(AND(E3="SI",OR(E83&lt;0,E83&gt;E80)),"Il valore deve essere maggiore o uguale a zero e minore o uguale a UtT","")</f>
        <v/>
      </c>
      <c r="J83" s="19"/>
      <c r="K83" s="27"/>
      <c r="L83" s="27">
        <f t="shared" si="3"/>
        <v>0</v>
      </c>
    </row>
    <row r="84" spans="1:12" s="31" customFormat="1" ht="45" x14ac:dyDescent="0.25">
      <c r="A84" s="145" t="s">
        <v>109</v>
      </c>
      <c r="B84" s="105" t="s">
        <v>110</v>
      </c>
      <c r="C84" s="195" t="s">
        <v>8</v>
      </c>
      <c r="D84" s="430"/>
      <c r="E84" s="341"/>
      <c r="F84" s="202" t="s">
        <v>302</v>
      </c>
      <c r="G84" s="19"/>
      <c r="H84" s="520"/>
      <c r="I84" s="322" t="str">
        <f>IF(AND(E3="SI",OR(E84&lt;E83,E84&lt;0)),"Il valore deve essere maggiore o uguale di UtT_cond","")</f>
        <v/>
      </c>
      <c r="J84" s="19"/>
      <c r="K84" s="27"/>
      <c r="L84" s="27">
        <f t="shared" ref="L84:L115" si="7">IF(I84="",0,1)</f>
        <v>0</v>
      </c>
    </row>
    <row r="85" spans="1:12" s="31" customFormat="1" ht="21.95" customHeight="1" x14ac:dyDescent="0.25">
      <c r="A85" s="145" t="s">
        <v>111</v>
      </c>
      <c r="B85" s="107" t="s">
        <v>112</v>
      </c>
      <c r="C85" s="195" t="s">
        <v>8</v>
      </c>
      <c r="D85" s="430"/>
      <c r="E85" s="341"/>
      <c r="F85" s="203"/>
      <c r="G85" s="19"/>
      <c r="H85" s="984"/>
      <c r="I85" s="985" t="str">
        <f>IF(OR(E85&lt;&gt;"",E86&lt;&gt;""),IF(OR(E85&lt;0,E86&lt;0,E86+E85&lt;&gt;E84),"Ogni di cui deve essere maggiore o uguale a zero e la somma deve essere pari a UtT_indr",""),"")</f>
        <v/>
      </c>
      <c r="J85" s="19"/>
      <c r="K85" s="27"/>
      <c r="L85" s="27">
        <f t="shared" si="7"/>
        <v>0</v>
      </c>
    </row>
    <row r="86" spans="1:12" s="31" customFormat="1" ht="21.95" customHeight="1" x14ac:dyDescent="0.25">
      <c r="A86" s="145" t="s">
        <v>113</v>
      </c>
      <c r="B86" s="107" t="s">
        <v>114</v>
      </c>
      <c r="C86" s="195" t="s">
        <v>8</v>
      </c>
      <c r="D86" s="430"/>
      <c r="E86" s="341"/>
      <c r="F86" s="203"/>
      <c r="G86" s="37"/>
      <c r="H86" s="984"/>
      <c r="I86" s="985"/>
      <c r="J86" s="37"/>
      <c r="K86" s="27"/>
      <c r="L86" s="27">
        <f t="shared" si="7"/>
        <v>0</v>
      </c>
    </row>
    <row r="87" spans="1:12" s="31" customFormat="1" ht="46.35" customHeight="1" x14ac:dyDescent="0.25">
      <c r="A87" s="145" t="s">
        <v>115</v>
      </c>
      <c r="B87" s="110" t="s">
        <v>116</v>
      </c>
      <c r="C87" s="195" t="s">
        <v>8</v>
      </c>
      <c r="D87" s="497"/>
      <c r="E87" s="350">
        <f t="shared" ref="E87" si="8">IF((E80-E83+E84)&gt;=0,E80-E83+E84,"")</f>
        <v>0</v>
      </c>
      <c r="F87" s="203" t="s">
        <v>117</v>
      </c>
      <c r="G87" s="19"/>
      <c r="H87" s="524"/>
      <c r="I87" s="323"/>
      <c r="J87" s="19"/>
      <c r="K87" s="27"/>
      <c r="L87" s="27">
        <f t="shared" si="7"/>
        <v>0</v>
      </c>
    </row>
    <row r="88" spans="1:12" s="31" customFormat="1" ht="45" customHeight="1" x14ac:dyDescent="0.25">
      <c r="A88" s="137" t="s">
        <v>3055</v>
      </c>
      <c r="B88" s="110" t="s">
        <v>118</v>
      </c>
      <c r="C88" s="195" t="s">
        <v>8</v>
      </c>
      <c r="D88" s="430"/>
      <c r="E88" s="341"/>
      <c r="F88" s="203" t="s">
        <v>119</v>
      </c>
      <c r="G88" s="19"/>
      <c r="H88" s="520"/>
      <c r="I88" s="322" t="str">
        <f t="shared" ref="I88:I90" si="9">IF(E88&lt;0,"Il valore deve essere maggiore o uguale a zero","")</f>
        <v/>
      </c>
      <c r="J88" s="19"/>
      <c r="K88" s="27"/>
      <c r="L88" s="27">
        <f t="shared" si="7"/>
        <v>0</v>
      </c>
    </row>
    <row r="89" spans="1:12" s="31" customFormat="1" ht="32.1" customHeight="1" x14ac:dyDescent="0.25">
      <c r="A89" s="137" t="s">
        <v>120</v>
      </c>
      <c r="B89" s="110" t="s">
        <v>121</v>
      </c>
      <c r="C89" s="200" t="s">
        <v>122</v>
      </c>
      <c r="D89" s="430"/>
      <c r="E89" s="341"/>
      <c r="F89" s="203"/>
      <c r="G89" s="19"/>
      <c r="H89" s="520"/>
      <c r="I89" s="322" t="str">
        <f t="shared" si="9"/>
        <v/>
      </c>
      <c r="J89" s="19"/>
      <c r="K89" s="27"/>
      <c r="L89" s="27">
        <f t="shared" si="7"/>
        <v>0</v>
      </c>
    </row>
    <row r="90" spans="1:12" s="31" customFormat="1" ht="54" customHeight="1" x14ac:dyDescent="0.25">
      <c r="A90" s="137" t="s">
        <v>123</v>
      </c>
      <c r="B90" s="111" t="s">
        <v>124</v>
      </c>
      <c r="C90" s="200" t="s">
        <v>122</v>
      </c>
      <c r="D90" s="430"/>
      <c r="E90" s="341"/>
      <c r="F90" s="203" t="s">
        <v>125</v>
      </c>
      <c r="G90" s="19"/>
      <c r="H90" s="520"/>
      <c r="I90" s="322" t="str">
        <f t="shared" si="9"/>
        <v/>
      </c>
      <c r="J90" s="19"/>
      <c r="K90" s="27"/>
      <c r="L90" s="27">
        <f t="shared" si="7"/>
        <v>0</v>
      </c>
    </row>
    <row r="91" spans="1:12" s="31" customFormat="1" ht="30" customHeight="1" x14ac:dyDescent="0.25">
      <c r="A91" s="146" t="s">
        <v>126</v>
      </c>
      <c r="B91" s="109" t="s">
        <v>127</v>
      </c>
      <c r="C91" s="282" t="s">
        <v>122</v>
      </c>
      <c r="D91" s="483"/>
      <c r="E91" s="344" t="str">
        <f t="shared" ref="E91" si="10">IF(AND(E87&gt;0,E90&lt;&gt;"",E90&gt;=0),E90/E87,"")</f>
        <v/>
      </c>
      <c r="F91" s="191" t="s">
        <v>128</v>
      </c>
      <c r="G91" s="19"/>
      <c r="H91" s="520"/>
      <c r="I91" s="322" t="str">
        <f>IF(AND(E7="X",E91=""),"Indicatore non calcolabile","")</f>
        <v/>
      </c>
      <c r="J91" s="19"/>
      <c r="K91" s="27"/>
      <c r="L91" s="27">
        <f t="shared" si="7"/>
        <v>0</v>
      </c>
    </row>
    <row r="92" spans="1:12" s="31" customFormat="1" ht="30" customHeight="1" x14ac:dyDescent="0.25">
      <c r="A92" s="563" t="s">
        <v>129</v>
      </c>
      <c r="B92" s="103" t="s">
        <v>130</v>
      </c>
      <c r="C92" s="267" t="s">
        <v>1</v>
      </c>
      <c r="D92" s="480"/>
      <c r="E92" s="309" t="str">
        <f>IF(E91="","",IF(E91&lt;0.75,"A",IF(E91&lt;3,"B",IF(E91&lt;10,"C",IF(E91&lt;30,"D","E")))))</f>
        <v/>
      </c>
      <c r="F92" s="191" t="s">
        <v>2522</v>
      </c>
      <c r="G92" s="19"/>
      <c r="H92" s="523"/>
      <c r="I92" s="326"/>
      <c r="J92" s="19"/>
      <c r="K92" s="27"/>
      <c r="L92" s="27">
        <f t="shared" si="7"/>
        <v>0</v>
      </c>
    </row>
    <row r="93" spans="1:12" s="31" customFormat="1" ht="30" customHeight="1" x14ac:dyDescent="0.25">
      <c r="A93" s="563" t="s">
        <v>131</v>
      </c>
      <c r="B93" s="103" t="s">
        <v>132</v>
      </c>
      <c r="C93" s="267" t="s">
        <v>1</v>
      </c>
      <c r="D93" s="480"/>
      <c r="E93" s="309" t="str">
        <f>IF(E92="A","Mantenimento",IF(E92="B","-2% di M2",IF(E92="C","-4% di M2",IF(E92="D","-6% di M2",IF(E92="E","-8% di M2","")))))</f>
        <v/>
      </c>
      <c r="F93" s="191" t="s">
        <v>2522</v>
      </c>
      <c r="G93" s="19"/>
      <c r="H93" s="523"/>
      <c r="I93" s="326"/>
      <c r="J93" s="19"/>
      <c r="K93" s="27"/>
      <c r="L93" s="27">
        <f t="shared" si="7"/>
        <v>0</v>
      </c>
    </row>
    <row r="94" spans="1:12" s="31" customFormat="1" ht="42" customHeight="1" x14ac:dyDescent="0.25">
      <c r="A94" s="145" t="s">
        <v>133</v>
      </c>
      <c r="B94" s="111" t="s">
        <v>134</v>
      </c>
      <c r="C94" s="200" t="s">
        <v>37</v>
      </c>
      <c r="D94" s="430"/>
      <c r="E94" s="351"/>
      <c r="F94" s="203"/>
      <c r="G94" s="19"/>
      <c r="H94" s="520"/>
      <c r="I94" s="326"/>
      <c r="J94" s="19"/>
      <c r="K94" s="27"/>
      <c r="L94" s="27">
        <f t="shared" si="7"/>
        <v>0</v>
      </c>
    </row>
    <row r="95" spans="1:12" s="31" customFormat="1" ht="32.1" customHeight="1" x14ac:dyDescent="0.25">
      <c r="A95" s="149" t="s">
        <v>554</v>
      </c>
      <c r="B95" s="280" t="s">
        <v>135</v>
      </c>
      <c r="C95" s="283" t="s">
        <v>37</v>
      </c>
      <c r="D95" s="430"/>
      <c r="E95" s="351"/>
      <c r="F95" s="349"/>
      <c r="G95" s="19"/>
      <c r="H95" s="520"/>
      <c r="I95" s="326"/>
      <c r="J95" s="19"/>
      <c r="K95" s="27"/>
      <c r="L95" s="27">
        <f t="shared" si="7"/>
        <v>0</v>
      </c>
    </row>
    <row r="96" spans="1:12" s="31" customFormat="1" ht="30" customHeight="1" x14ac:dyDescent="0.25">
      <c r="A96" s="142" t="s">
        <v>136</v>
      </c>
      <c r="B96" s="103" t="s">
        <v>137</v>
      </c>
      <c r="C96" s="267" t="s">
        <v>4</v>
      </c>
      <c r="D96" s="478"/>
      <c r="E96" s="352"/>
      <c r="F96" s="191" t="s">
        <v>2516</v>
      </c>
      <c r="G96" s="19"/>
      <c r="H96" s="523"/>
      <c r="I96" s="326"/>
      <c r="J96" s="19"/>
      <c r="K96" s="27"/>
      <c r="L96" s="27">
        <f>IF(I96="",0,1)</f>
        <v>0</v>
      </c>
    </row>
    <row r="97" spans="1:12" ht="30.75" thickBot="1" x14ac:dyDescent="0.3">
      <c r="A97" s="564" t="s">
        <v>2523</v>
      </c>
      <c r="B97" s="148" t="s">
        <v>2524</v>
      </c>
      <c r="C97" s="289" t="s">
        <v>4</v>
      </c>
      <c r="D97" s="498"/>
      <c r="E97" s="741" t="str">
        <f>IF(AND(E105=0,E106=0),"",E105/(E105+E106))</f>
        <v/>
      </c>
      <c r="F97" s="340" t="s">
        <v>2525</v>
      </c>
      <c r="H97" s="521"/>
      <c r="I97" s="374"/>
      <c r="K97" s="27"/>
      <c r="L97" s="27">
        <f>IF(I97="",0,1)</f>
        <v>0</v>
      </c>
    </row>
    <row r="98" spans="1:12" s="31" customFormat="1" ht="10.35" customHeight="1" x14ac:dyDescent="0.25">
      <c r="A98" s="28"/>
      <c r="B98" s="29"/>
      <c r="C98" s="28"/>
      <c r="D98" s="28"/>
      <c r="E98" s="28"/>
      <c r="F98" s="136"/>
      <c r="G98" s="136"/>
      <c r="H98" s="136"/>
      <c r="I98" s="136"/>
      <c r="J98" s="19"/>
      <c r="K98" s="27"/>
      <c r="L98" s="27">
        <f t="shared" si="7"/>
        <v>0</v>
      </c>
    </row>
    <row r="99" spans="1:12" s="31" customFormat="1" ht="18" thickBot="1" x14ac:dyDescent="0.3">
      <c r="A99" s="32" t="s">
        <v>461</v>
      </c>
      <c r="B99" s="29"/>
      <c r="C99" s="28"/>
      <c r="D99" s="28"/>
      <c r="E99" s="28"/>
      <c r="F99" s="136"/>
      <c r="G99" s="136"/>
      <c r="H99" s="136"/>
      <c r="I99" s="136"/>
      <c r="J99" s="19"/>
      <c r="K99" s="27"/>
      <c r="L99" s="27">
        <f t="shared" si="7"/>
        <v>0</v>
      </c>
    </row>
    <row r="100" spans="1:12" s="31" customFormat="1" ht="45" customHeight="1" x14ac:dyDescent="0.25">
      <c r="A100" s="48" t="s">
        <v>139</v>
      </c>
      <c r="B100" s="234" t="s">
        <v>140</v>
      </c>
      <c r="C100" s="261" t="s">
        <v>1</v>
      </c>
      <c r="D100" s="470"/>
      <c r="E100" s="259"/>
      <c r="F100" s="190" t="s">
        <v>3028</v>
      </c>
      <c r="G100" s="19"/>
      <c r="H100" s="528"/>
      <c r="I100" s="228"/>
      <c r="J100" s="19"/>
      <c r="K100" s="27"/>
      <c r="L100" s="27">
        <f t="shared" si="7"/>
        <v>0</v>
      </c>
    </row>
    <row r="101" spans="1:12" s="31" customFormat="1" ht="45" customHeight="1" thickBot="1" x14ac:dyDescent="0.3">
      <c r="A101" s="87" t="s">
        <v>141</v>
      </c>
      <c r="B101" s="88" t="s">
        <v>142</v>
      </c>
      <c r="C101" s="262" t="s">
        <v>1</v>
      </c>
      <c r="D101" s="431"/>
      <c r="E101" s="338"/>
      <c r="F101" s="233" t="s">
        <v>602</v>
      </c>
      <c r="G101" s="19"/>
      <c r="H101" s="529"/>
      <c r="I101" s="209"/>
      <c r="J101" s="19"/>
      <c r="K101" s="27"/>
      <c r="L101" s="27">
        <f t="shared" si="7"/>
        <v>0</v>
      </c>
    </row>
    <row r="102" spans="1:12" s="31" customFormat="1" ht="10.35" customHeight="1" x14ac:dyDescent="0.25">
      <c r="A102" s="28"/>
      <c r="B102" s="29"/>
      <c r="C102" s="28"/>
      <c r="D102" s="28"/>
      <c r="E102" s="28"/>
      <c r="F102" s="136"/>
      <c r="G102" s="136"/>
      <c r="H102" s="136"/>
      <c r="I102" s="136"/>
      <c r="J102" s="19"/>
      <c r="K102" s="27"/>
      <c r="L102" s="27">
        <f t="shared" si="7"/>
        <v>0</v>
      </c>
    </row>
    <row r="103" spans="1:12" s="31" customFormat="1" ht="18" thickBot="1" x14ac:dyDescent="0.3">
      <c r="A103" s="32" t="s">
        <v>138</v>
      </c>
      <c r="B103" s="29"/>
      <c r="C103" s="28"/>
      <c r="D103" s="28"/>
      <c r="E103" s="28"/>
      <c r="F103" s="136"/>
      <c r="G103" s="136"/>
      <c r="H103" s="136"/>
      <c r="I103" s="136"/>
      <c r="J103" s="19"/>
      <c r="K103" s="27"/>
      <c r="L103" s="27">
        <f t="shared" si="7"/>
        <v>0</v>
      </c>
    </row>
    <row r="104" spans="1:12" s="31" customFormat="1" ht="32.1" customHeight="1" x14ac:dyDescent="0.25">
      <c r="A104" s="47" t="s">
        <v>143</v>
      </c>
      <c r="B104" s="49" t="s">
        <v>144</v>
      </c>
      <c r="C104" s="194" t="s">
        <v>8</v>
      </c>
      <c r="D104" s="429"/>
      <c r="E104" s="193"/>
      <c r="F104" s="190"/>
      <c r="G104" s="19"/>
      <c r="H104" s="519"/>
      <c r="I104" s="206" t="str">
        <f>IF(E104&lt;0,"Il valore deve essere maggiore o uguale a zero","")</f>
        <v/>
      </c>
      <c r="J104" s="19"/>
      <c r="K104" s="27"/>
      <c r="L104" s="27">
        <f t="shared" si="7"/>
        <v>0</v>
      </c>
    </row>
    <row r="105" spans="1:12" s="31" customFormat="1" ht="21.95" customHeight="1" x14ac:dyDescent="0.25">
      <c r="A105" s="145" t="s">
        <v>145</v>
      </c>
      <c r="B105" s="112" t="s">
        <v>146</v>
      </c>
      <c r="C105" s="195" t="s">
        <v>8</v>
      </c>
      <c r="D105" s="430"/>
      <c r="E105" s="341"/>
      <c r="F105" s="214"/>
      <c r="G105" s="19"/>
      <c r="H105" s="984"/>
      <c r="I105" s="985" t="str">
        <f>IF(OR(E105&lt;&gt;"",E106&lt;&gt;""),IF(OR(E105&lt;0,E106&lt;0,E106+E105&lt;&gt;E104),"Ogni di cui deve essere maggiore o uguale a zero e la somma deve essere pari a Int_tot,1h",""),"")</f>
        <v/>
      </c>
      <c r="J105" s="19"/>
      <c r="K105" s="27"/>
      <c r="L105" s="27">
        <f t="shared" si="7"/>
        <v>0</v>
      </c>
    </row>
    <row r="106" spans="1:12" s="31" customFormat="1" ht="21.95" customHeight="1" x14ac:dyDescent="0.25">
      <c r="A106" s="145" t="s">
        <v>147</v>
      </c>
      <c r="B106" s="112" t="s">
        <v>148</v>
      </c>
      <c r="C106" s="195" t="s">
        <v>8</v>
      </c>
      <c r="D106" s="430"/>
      <c r="E106" s="341"/>
      <c r="F106" s="214"/>
      <c r="G106" s="19"/>
      <c r="H106" s="984"/>
      <c r="I106" s="985"/>
      <c r="J106" s="19"/>
      <c r="K106" s="27"/>
      <c r="L106" s="27">
        <f t="shared" si="7"/>
        <v>0</v>
      </c>
    </row>
    <row r="107" spans="1:12" s="31" customFormat="1" ht="32.1" customHeight="1" x14ac:dyDescent="0.25">
      <c r="A107" s="145" t="s">
        <v>149</v>
      </c>
      <c r="B107" s="113" t="s">
        <v>582</v>
      </c>
      <c r="C107" s="195" t="s">
        <v>8</v>
      </c>
      <c r="D107" s="430"/>
      <c r="E107" s="341"/>
      <c r="F107" s="191" t="s">
        <v>150</v>
      </c>
      <c r="G107" s="19"/>
      <c r="H107" s="520"/>
      <c r="I107" s="322" t="str">
        <f>IF(OR(E107&lt;0,E107&gt;E106),"Il valore deve essere maggiore o uguale a zero e minore o uguale a Int_p","")</f>
        <v/>
      </c>
      <c r="J107" s="19"/>
      <c r="K107" s="27"/>
      <c r="L107" s="27">
        <f t="shared" si="7"/>
        <v>0</v>
      </c>
    </row>
    <row r="108" spans="1:12" s="31" customFormat="1" ht="32.1" customHeight="1" x14ac:dyDescent="0.25">
      <c r="A108" s="145" t="s">
        <v>151</v>
      </c>
      <c r="B108" s="151" t="s">
        <v>572</v>
      </c>
      <c r="C108" s="195" t="s">
        <v>8</v>
      </c>
      <c r="D108" s="430"/>
      <c r="E108" s="341"/>
      <c r="F108" s="191" t="s">
        <v>152</v>
      </c>
      <c r="G108" s="19"/>
      <c r="H108" s="520"/>
      <c r="I108" s="322" t="str">
        <f t="shared" ref="I108:I110" si="11">IF(E108&lt;0,"Il valore deve essere maggiore o uguale a zero","")</f>
        <v/>
      </c>
      <c r="J108" s="19"/>
      <c r="K108" s="27"/>
      <c r="L108" s="27">
        <f t="shared" si="7"/>
        <v>0</v>
      </c>
    </row>
    <row r="109" spans="1:12" s="31" customFormat="1" ht="32.1" customHeight="1" x14ac:dyDescent="0.25">
      <c r="A109" s="145" t="s">
        <v>153</v>
      </c>
      <c r="B109" s="111" t="s">
        <v>154</v>
      </c>
      <c r="C109" s="195" t="s">
        <v>8</v>
      </c>
      <c r="D109" s="430"/>
      <c r="E109" s="341"/>
      <c r="F109" s="191"/>
      <c r="G109" s="19"/>
      <c r="H109" s="520"/>
      <c r="I109" s="322" t="str">
        <f t="shared" si="11"/>
        <v/>
      </c>
      <c r="J109" s="19"/>
      <c r="K109" s="27"/>
      <c r="L109" s="27">
        <f t="shared" si="7"/>
        <v>0</v>
      </c>
    </row>
    <row r="110" spans="1:12" s="31" customFormat="1" ht="60" customHeight="1" x14ac:dyDescent="0.25">
      <c r="A110" s="145" t="s">
        <v>155</v>
      </c>
      <c r="B110" s="152" t="s">
        <v>595</v>
      </c>
      <c r="C110" s="195" t="s">
        <v>8</v>
      </c>
      <c r="D110" s="430"/>
      <c r="E110" s="341"/>
      <c r="F110" s="191" t="s">
        <v>2352</v>
      </c>
      <c r="G110" s="19"/>
      <c r="H110" s="520"/>
      <c r="I110" s="322" t="str">
        <f t="shared" si="11"/>
        <v/>
      </c>
      <c r="J110" s="19"/>
      <c r="K110" s="27"/>
      <c r="L110" s="27">
        <f t="shared" si="7"/>
        <v>0</v>
      </c>
    </row>
    <row r="111" spans="1:12" s="31" customFormat="1" ht="53.25" customHeight="1" x14ac:dyDescent="0.25">
      <c r="A111" s="137" t="s">
        <v>156</v>
      </c>
      <c r="B111" s="111" t="s">
        <v>157</v>
      </c>
      <c r="C111" s="195" t="s">
        <v>8</v>
      </c>
      <c r="D111" s="430"/>
      <c r="E111" s="341"/>
      <c r="F111" s="191" t="s">
        <v>1619</v>
      </c>
      <c r="G111" s="19"/>
      <c r="H111" s="520"/>
      <c r="I111" s="375" t="str">
        <f>IF(OR(E111&lt;0,E111&lt;E107),"Il valore deve essere maggiore o uguale a Int_p,S1","")</f>
        <v/>
      </c>
      <c r="J111" s="19"/>
      <c r="K111" s="27"/>
      <c r="L111" s="27">
        <f t="shared" si="7"/>
        <v>0</v>
      </c>
    </row>
    <row r="112" spans="1:12" s="31" customFormat="1" ht="55.5" customHeight="1" x14ac:dyDescent="0.25">
      <c r="A112" s="137" t="s">
        <v>158</v>
      </c>
      <c r="B112" s="111" t="s">
        <v>159</v>
      </c>
      <c r="C112" s="195" t="s">
        <v>8</v>
      </c>
      <c r="D112" s="430"/>
      <c r="E112" s="341"/>
      <c r="F112" s="191" t="s">
        <v>1619</v>
      </c>
      <c r="G112" s="19"/>
      <c r="H112" s="520"/>
      <c r="I112" s="375" t="str">
        <f>IF(OR(E112&lt;0,E112&lt;E110),"Il valore deve essere maggiore o uguale a Int_em,S2","")</f>
        <v/>
      </c>
      <c r="J112" s="19"/>
      <c r="K112" s="27"/>
      <c r="L112" s="27">
        <f t="shared" si="7"/>
        <v>0</v>
      </c>
    </row>
    <row r="113" spans="1:12" s="31" customFormat="1" ht="55.5" customHeight="1" thickBot="1" x14ac:dyDescent="0.3">
      <c r="A113" s="166" t="s">
        <v>160</v>
      </c>
      <c r="B113" s="167" t="s">
        <v>161</v>
      </c>
      <c r="C113" s="402" t="s">
        <v>8</v>
      </c>
      <c r="D113" s="435"/>
      <c r="E113" s="354"/>
      <c r="F113" s="192" t="s">
        <v>1619</v>
      </c>
      <c r="G113" s="19"/>
      <c r="H113" s="521"/>
      <c r="I113" s="376" t="str">
        <f>IF(OR(E113&lt;0,E113&lt;E108),"Il valore deve essere maggiore o uguale a Int_p,S3","")</f>
        <v/>
      </c>
      <c r="J113" s="19"/>
      <c r="K113" s="27"/>
      <c r="L113" s="27">
        <f t="shared" si="7"/>
        <v>0</v>
      </c>
    </row>
    <row r="114" spans="1:12" s="31" customFormat="1" ht="10.35" customHeight="1" x14ac:dyDescent="0.25">
      <c r="A114" s="28"/>
      <c r="B114" s="29"/>
      <c r="C114" s="28"/>
      <c r="D114" s="28"/>
      <c r="E114" s="28"/>
      <c r="F114" s="136"/>
      <c r="G114" s="19"/>
      <c r="H114" s="30"/>
      <c r="I114" s="30"/>
      <c r="J114" s="19"/>
      <c r="K114" s="27"/>
      <c r="L114" s="27">
        <f t="shared" si="7"/>
        <v>0</v>
      </c>
    </row>
    <row r="115" spans="1:12" s="31" customFormat="1" ht="18" thickBot="1" x14ac:dyDescent="0.3">
      <c r="A115" s="32" t="s">
        <v>3156</v>
      </c>
      <c r="B115" s="29"/>
      <c r="C115" s="28"/>
      <c r="D115" s="28"/>
      <c r="E115" s="28"/>
      <c r="F115" s="136"/>
      <c r="G115" s="19"/>
      <c r="H115" s="30"/>
      <c r="I115" s="30"/>
      <c r="J115" s="19"/>
      <c r="K115" s="27"/>
      <c r="L115" s="27">
        <f t="shared" si="7"/>
        <v>0</v>
      </c>
    </row>
    <row r="116" spans="1:12" s="31" customFormat="1" ht="62.1" customHeight="1" x14ac:dyDescent="0.25">
      <c r="A116" s="279" t="s">
        <v>31</v>
      </c>
      <c r="B116" s="565" t="s">
        <v>2526</v>
      </c>
      <c r="C116" s="263" t="s">
        <v>1</v>
      </c>
      <c r="D116" s="470"/>
      <c r="E116" s="222"/>
      <c r="F116" s="235" t="s">
        <v>3226</v>
      </c>
      <c r="G116" s="19"/>
      <c r="H116" s="519"/>
      <c r="I116" s="208"/>
      <c r="J116" s="19"/>
      <c r="K116" s="27"/>
      <c r="L116" s="27">
        <f t="shared" ref="L116:L150" si="12">IF(I116="",0,1)</f>
        <v>0</v>
      </c>
    </row>
    <row r="117" spans="1:12" s="31" customFormat="1" ht="32.1" customHeight="1" x14ac:dyDescent="0.25">
      <c r="A117" s="357" t="s">
        <v>32</v>
      </c>
      <c r="B117" s="358" t="s">
        <v>33</v>
      </c>
      <c r="C117" s="260" t="s">
        <v>1</v>
      </c>
      <c r="D117" s="499"/>
      <c r="E117" s="424"/>
      <c r="F117" s="236" t="s">
        <v>1605</v>
      </c>
      <c r="G117" s="19"/>
      <c r="H117" s="520"/>
      <c r="I117" s="324"/>
      <c r="J117" s="19"/>
      <c r="K117" s="27"/>
      <c r="L117" s="27">
        <f t="shared" si="12"/>
        <v>0</v>
      </c>
    </row>
    <row r="118" spans="1:12" s="31" customFormat="1" ht="42.75" customHeight="1" x14ac:dyDescent="0.25">
      <c r="A118" s="359" t="s">
        <v>34</v>
      </c>
      <c r="B118" s="358" t="s">
        <v>35</v>
      </c>
      <c r="C118" s="260" t="s">
        <v>1</v>
      </c>
      <c r="D118" s="499"/>
      <c r="E118" s="424"/>
      <c r="F118" s="236" t="s">
        <v>1605</v>
      </c>
      <c r="G118" s="19"/>
      <c r="H118" s="520"/>
      <c r="I118" s="324"/>
      <c r="J118" s="19"/>
      <c r="K118" s="27"/>
      <c r="L118" s="27">
        <f t="shared" si="12"/>
        <v>0</v>
      </c>
    </row>
    <row r="119" spans="1:12" s="31" customFormat="1" ht="80.25" customHeight="1" x14ac:dyDescent="0.25">
      <c r="A119" s="359" t="s">
        <v>36</v>
      </c>
      <c r="B119" s="360" t="s">
        <v>462</v>
      </c>
      <c r="C119" s="260" t="s">
        <v>8</v>
      </c>
      <c r="D119" s="499"/>
      <c r="E119" s="384"/>
      <c r="F119" s="236" t="s">
        <v>3010</v>
      </c>
      <c r="G119" s="19"/>
      <c r="H119" s="520"/>
      <c r="I119" s="322" t="str">
        <f>IF(AND(E3&lt;&gt;"SI",E119&lt;&gt;""),"Non risulta gestito il servizio di acquedotto",IF(E119&lt;0,"Il valore deve essere maggiore o uguale a zero",""))</f>
        <v/>
      </c>
      <c r="J119" s="19"/>
      <c r="K119" s="27"/>
      <c r="L119" s="27">
        <f t="shared" si="12"/>
        <v>0</v>
      </c>
    </row>
    <row r="120" spans="1:12" s="31" customFormat="1" ht="45" customHeight="1" x14ac:dyDescent="0.25">
      <c r="A120" s="361" t="s">
        <v>2372</v>
      </c>
      <c r="B120" s="566" t="s">
        <v>2527</v>
      </c>
      <c r="C120" s="260" t="s">
        <v>37</v>
      </c>
      <c r="D120" s="500"/>
      <c r="E120" s="567"/>
      <c r="F120" s="236" t="s">
        <v>2528</v>
      </c>
      <c r="G120" s="19"/>
      <c r="H120" s="520"/>
      <c r="I120" s="322" t="str">
        <f>IF(AND(E3&lt;&gt;"SI",E120&lt;&gt;""),"Non risulta gestito il servizio di acquedotto", IF(E120&lt;0,"Il valore deve essere maggiore o uguale a zero",""))</f>
        <v/>
      </c>
      <c r="J120" s="19"/>
      <c r="K120" s="27"/>
      <c r="L120" s="27">
        <f t="shared" si="12"/>
        <v>0</v>
      </c>
    </row>
    <row r="121" spans="1:12" s="31" customFormat="1" ht="32.1" customHeight="1" x14ac:dyDescent="0.25">
      <c r="A121" s="359" t="s">
        <v>38</v>
      </c>
      <c r="B121" s="360" t="s">
        <v>463</v>
      </c>
      <c r="C121" s="260" t="s">
        <v>8</v>
      </c>
      <c r="D121" s="499"/>
      <c r="E121" s="384"/>
      <c r="F121" s="236" t="s">
        <v>505</v>
      </c>
      <c r="G121" s="19"/>
      <c r="H121" s="520"/>
      <c r="I121" s="322" t="str">
        <f>IF(AND(E3&lt;&gt;"SI",E121&lt;&gt;0),"Non risulta gestito il servizio di acquedotto", IF(E121&lt;0,"Il valore deve essere maggiore o uguale a zero",""))</f>
        <v/>
      </c>
      <c r="J121" s="19"/>
      <c r="K121" s="27"/>
      <c r="L121" s="27">
        <f t="shared" si="12"/>
        <v>0</v>
      </c>
    </row>
    <row r="122" spans="1:12" s="31" customFormat="1" ht="32.1" customHeight="1" x14ac:dyDescent="0.25">
      <c r="A122" s="359" t="s">
        <v>39</v>
      </c>
      <c r="B122" s="358" t="s">
        <v>40</v>
      </c>
      <c r="C122" s="260" t="s">
        <v>1</v>
      </c>
      <c r="D122" s="501"/>
      <c r="E122" s="355" t="str">
        <f>IF(AND(E119="",E121=0),"",IF(AND(E121&gt;=E119,E119&gt;=0,E121&gt;=0,E119&lt;&gt;"",E121&lt;&gt;""),"SI","NO"))</f>
        <v/>
      </c>
      <c r="F122" s="223"/>
      <c r="G122" s="19"/>
      <c r="H122" s="520"/>
      <c r="I122" s="324"/>
      <c r="J122" s="19"/>
      <c r="K122" s="27"/>
      <c r="L122" s="27">
        <f t="shared" si="12"/>
        <v>0</v>
      </c>
    </row>
    <row r="123" spans="1:12" s="31" customFormat="1" ht="45" x14ac:dyDescent="0.25">
      <c r="A123" s="362" t="s">
        <v>506</v>
      </c>
      <c r="B123" s="363" t="s">
        <v>507</v>
      </c>
      <c r="C123" s="265" t="s">
        <v>1</v>
      </c>
      <c r="D123" s="502"/>
      <c r="E123" s="356" t="str">
        <f>IF(E3&lt;&gt;"SI","",IF(AND(E116="",E117="",E118="",E122=""),"",IF(AND(E116="X",E117="X",E118="X",E122="SI"),"SI","NO")))</f>
        <v/>
      </c>
      <c r="F123" s="191" t="s">
        <v>2331</v>
      </c>
      <c r="G123" s="19"/>
      <c r="H123" s="520"/>
      <c r="I123" s="322" t="str">
        <f>IF(AND(E$3="SI",OR(E123="NO",E123="")),"Attenzione, prerequisito mancante","")</f>
        <v/>
      </c>
      <c r="J123" s="19"/>
      <c r="K123" s="27"/>
      <c r="L123" s="27">
        <f t="shared" si="12"/>
        <v>0</v>
      </c>
    </row>
    <row r="124" spans="1:12" s="31" customFormat="1" ht="42" customHeight="1" x14ac:dyDescent="0.25">
      <c r="A124" s="362" t="s">
        <v>508</v>
      </c>
      <c r="B124" s="51" t="s">
        <v>509</v>
      </c>
      <c r="C124" s="266" t="s">
        <v>1</v>
      </c>
      <c r="D124" s="475"/>
      <c r="E124" s="337"/>
      <c r="F124" s="191" t="s">
        <v>2570</v>
      </c>
      <c r="G124" s="19"/>
      <c r="H124" s="520"/>
      <c r="I124" s="322" t="str">
        <f>IF(AND(E$3="SI",OR(E124="Non adeguato",E124="")),"Attenzione, prerequisito mancante","")</f>
        <v/>
      </c>
      <c r="J124" s="19"/>
      <c r="K124" s="27"/>
      <c r="L124" s="27">
        <f t="shared" si="12"/>
        <v>0</v>
      </c>
    </row>
    <row r="125" spans="1:12" s="31" customFormat="1" ht="45" customHeight="1" thickBot="1" x14ac:dyDescent="0.3">
      <c r="A125" s="364" t="s">
        <v>163</v>
      </c>
      <c r="B125" s="365" t="s">
        <v>164</v>
      </c>
      <c r="C125" s="333" t="s">
        <v>1</v>
      </c>
      <c r="D125" s="431"/>
      <c r="E125" s="338"/>
      <c r="F125" s="192" t="s">
        <v>3029</v>
      </c>
      <c r="G125" s="19"/>
      <c r="H125" s="522"/>
      <c r="I125" s="371"/>
      <c r="J125" s="19"/>
      <c r="K125" s="27"/>
      <c r="L125" s="27">
        <f t="shared" si="12"/>
        <v>0</v>
      </c>
    </row>
    <row r="126" spans="1:12" s="31" customFormat="1" ht="10.35" customHeight="1" x14ac:dyDescent="0.25">
      <c r="A126" s="28"/>
      <c r="B126" s="29"/>
      <c r="C126" s="28"/>
      <c r="D126" s="28"/>
      <c r="E126" s="28"/>
      <c r="F126" s="136"/>
      <c r="G126" s="19"/>
      <c r="H126" s="30"/>
      <c r="I126" s="30"/>
      <c r="J126" s="19"/>
      <c r="K126" s="27"/>
      <c r="L126" s="27">
        <f t="shared" si="12"/>
        <v>0</v>
      </c>
    </row>
    <row r="127" spans="1:12" s="31" customFormat="1" ht="18" thickBot="1" x14ac:dyDescent="0.3">
      <c r="A127" s="32" t="s">
        <v>162</v>
      </c>
      <c r="B127" s="29"/>
      <c r="C127" s="28"/>
      <c r="D127" s="28"/>
      <c r="E127" s="28"/>
      <c r="F127" s="136"/>
      <c r="G127" s="19"/>
      <c r="H127" s="30"/>
      <c r="I127" s="30"/>
      <c r="J127" s="19"/>
      <c r="K127" s="27"/>
      <c r="L127" s="27">
        <f t="shared" si="12"/>
        <v>0</v>
      </c>
    </row>
    <row r="128" spans="1:12" ht="30" customHeight="1" x14ac:dyDescent="0.25">
      <c r="A128" s="52" t="s">
        <v>165</v>
      </c>
      <c r="B128" s="40" t="s">
        <v>166</v>
      </c>
      <c r="C128" s="194" t="s">
        <v>8</v>
      </c>
      <c r="D128" s="429"/>
      <c r="E128" s="193"/>
      <c r="F128" s="237"/>
      <c r="H128" s="519"/>
      <c r="I128" s="206" t="str">
        <f t="shared" ref="I128:I130" si="13">IF(E128&lt;0,"Il valore deve essere maggiore o uguale a zero","")</f>
        <v/>
      </c>
      <c r="K128" s="27"/>
      <c r="L128" s="27">
        <f t="shared" si="12"/>
        <v>0</v>
      </c>
    </row>
    <row r="129" spans="1:12" ht="47.85" customHeight="1" x14ac:dyDescent="0.25">
      <c r="A129" s="153" t="s">
        <v>167</v>
      </c>
      <c r="B129" s="105" t="s">
        <v>168</v>
      </c>
      <c r="C129" s="195" t="s">
        <v>8</v>
      </c>
      <c r="D129" s="430"/>
      <c r="E129" s="341"/>
      <c r="F129" s="203" t="s">
        <v>169</v>
      </c>
      <c r="H129" s="520"/>
      <c r="I129" s="322" t="str">
        <f t="shared" si="13"/>
        <v/>
      </c>
      <c r="K129" s="27"/>
      <c r="L129" s="27">
        <f t="shared" si="12"/>
        <v>0</v>
      </c>
    </row>
    <row r="130" spans="1:12" ht="32.1" customHeight="1" x14ac:dyDescent="0.25">
      <c r="A130" s="153" t="s">
        <v>170</v>
      </c>
      <c r="B130" s="105" t="s">
        <v>171</v>
      </c>
      <c r="C130" s="195" t="s">
        <v>172</v>
      </c>
      <c r="D130" s="430"/>
      <c r="E130" s="341"/>
      <c r="F130" s="191"/>
      <c r="H130" s="520"/>
      <c r="I130" s="322" t="str">
        <f t="shared" si="13"/>
        <v/>
      </c>
      <c r="K130" s="27"/>
      <c r="L130" s="27">
        <f t="shared" si="12"/>
        <v>0</v>
      </c>
    </row>
    <row r="131" spans="1:12" ht="56.25" customHeight="1" x14ac:dyDescent="0.25">
      <c r="A131" s="153" t="s">
        <v>173</v>
      </c>
      <c r="B131" s="105" t="s">
        <v>174</v>
      </c>
      <c r="C131" s="195" t="s">
        <v>172</v>
      </c>
      <c r="D131" s="430"/>
      <c r="E131" s="341"/>
      <c r="F131" s="191" t="s">
        <v>175</v>
      </c>
      <c r="H131" s="520"/>
      <c r="I131" s="322" t="str">
        <f>IF(E7="X",IF(OR(E131&lt;0,E131=""),"Il valore deve essere maggiore o uguale a zero ",""),IF(E131&lt;&gt;0,"Non risulta gestita la distribuzione",""))</f>
        <v/>
      </c>
      <c r="K131" s="27"/>
      <c r="L131" s="27">
        <f t="shared" si="12"/>
        <v>0</v>
      </c>
    </row>
    <row r="132" spans="1:12" ht="30" customHeight="1" x14ac:dyDescent="0.25">
      <c r="A132" s="154" t="s">
        <v>176</v>
      </c>
      <c r="B132" s="103" t="s">
        <v>177</v>
      </c>
      <c r="C132" s="267" t="s">
        <v>4</v>
      </c>
      <c r="D132" s="503"/>
      <c r="E132" s="366" t="str">
        <f>IF(AND(E87&gt;0,E131&gt;=0,E131&lt;&gt;""),E131/(E87*365),"")</f>
        <v/>
      </c>
      <c r="F132" s="191" t="s">
        <v>178</v>
      </c>
      <c r="H132" s="520"/>
      <c r="I132" s="322" t="str">
        <f>IF(AND(E7="X",E132=""),"Indicatore non calcolabile","")</f>
        <v/>
      </c>
      <c r="K132" s="27"/>
      <c r="L132" s="27">
        <f t="shared" si="12"/>
        <v>0</v>
      </c>
    </row>
    <row r="133" spans="1:12" ht="79.5" customHeight="1" x14ac:dyDescent="0.25">
      <c r="A133" s="153" t="s">
        <v>179</v>
      </c>
      <c r="B133" s="86" t="s">
        <v>1608</v>
      </c>
      <c r="C133" s="195" t="s">
        <v>8</v>
      </c>
      <c r="D133" s="430"/>
      <c r="E133" s="341"/>
      <c r="F133" s="191" t="s">
        <v>2529</v>
      </c>
      <c r="H133" s="520"/>
      <c r="I133" s="322" t="str">
        <f>IF(AND(E7="X",OR(E133&lt;=0,E133&gt;E121)),"Il valore deve essere maggiore di zero e minore o uguale a C_ACQ-real","")</f>
        <v/>
      </c>
      <c r="K133" s="27"/>
      <c r="L133" s="27">
        <f t="shared" si="12"/>
        <v>0</v>
      </c>
    </row>
    <row r="134" spans="1:12" ht="60" x14ac:dyDescent="0.25">
      <c r="A134" s="155" t="s">
        <v>2895</v>
      </c>
      <c r="B134" s="86" t="s">
        <v>2530</v>
      </c>
      <c r="C134" s="195" t="s">
        <v>8</v>
      </c>
      <c r="D134" s="430"/>
      <c r="E134" s="341"/>
      <c r="F134" s="214"/>
      <c r="H134" s="520"/>
      <c r="I134" s="322" t="str">
        <f>IF(AND(E7="X",OR(E134&lt;0,E134&gt;E133,E134="")),"Il valore deve essere maggiore o uguale a zero e minore o uguale a C_ACQ-tot","")</f>
        <v/>
      </c>
      <c r="K134" s="27"/>
      <c r="L134" s="27">
        <f t="shared" si="12"/>
        <v>0</v>
      </c>
    </row>
    <row r="135" spans="1:12" ht="30" customHeight="1" x14ac:dyDescent="0.25">
      <c r="A135" s="155" t="s">
        <v>577</v>
      </c>
      <c r="B135" s="114" t="s">
        <v>2531</v>
      </c>
      <c r="C135" s="195" t="s">
        <v>8</v>
      </c>
      <c r="D135" s="430"/>
      <c r="E135" s="341"/>
      <c r="F135" s="191" t="s">
        <v>2533</v>
      </c>
      <c r="H135" s="984"/>
      <c r="I135" s="985" t="str">
        <f>IF(OR(E135&lt;&gt;"",E136&lt;&gt;""),IF(OR(E135&lt;0,E136&lt;0,E136+E135&lt;&gt;E134),"Ogni di cui deve essere maggiore o uguale a zero e la somma deve essere pari a  C_ACQ-cnc",""),"")</f>
        <v/>
      </c>
      <c r="K135" s="27"/>
      <c r="L135" s="27">
        <f t="shared" si="12"/>
        <v>0</v>
      </c>
    </row>
    <row r="136" spans="1:12" ht="30" customHeight="1" x14ac:dyDescent="0.25">
      <c r="A136" s="155" t="s">
        <v>578</v>
      </c>
      <c r="B136" s="114" t="s">
        <v>2623</v>
      </c>
      <c r="C136" s="195" t="s">
        <v>8</v>
      </c>
      <c r="D136" s="430"/>
      <c r="E136" s="341"/>
      <c r="F136" s="191" t="s">
        <v>2532</v>
      </c>
      <c r="H136" s="984"/>
      <c r="I136" s="985"/>
      <c r="K136" s="27"/>
      <c r="L136" s="27">
        <f t="shared" si="12"/>
        <v>0</v>
      </c>
    </row>
    <row r="137" spans="1:12" ht="30" customHeight="1" x14ac:dyDescent="0.25">
      <c r="A137" s="154" t="s">
        <v>180</v>
      </c>
      <c r="B137" s="103" t="s">
        <v>181</v>
      </c>
      <c r="C137" s="267" t="s">
        <v>4</v>
      </c>
      <c r="D137" s="504"/>
      <c r="E137" s="367" t="str">
        <f>IF(AND(E133&gt;0,E134&gt;=0,E134&lt;&gt;"",E134&lt;=E133),E134/E133,"")</f>
        <v/>
      </c>
      <c r="F137" s="191" t="s">
        <v>182</v>
      </c>
      <c r="H137" s="520"/>
      <c r="I137" s="322" t="str">
        <f>IF(AND(E7="X",E137=""),"Indicatore non calcolabile","")</f>
        <v/>
      </c>
      <c r="K137" s="27"/>
      <c r="L137" s="27">
        <f t="shared" si="12"/>
        <v>0</v>
      </c>
    </row>
    <row r="138" spans="1:12" ht="45" customHeight="1" x14ac:dyDescent="0.25">
      <c r="A138" s="153" t="s">
        <v>183</v>
      </c>
      <c r="B138" s="86" t="s">
        <v>184</v>
      </c>
      <c r="C138" s="195" t="s">
        <v>8</v>
      </c>
      <c r="D138" s="430"/>
      <c r="E138" s="341"/>
      <c r="F138" s="238"/>
      <c r="H138" s="520"/>
      <c r="I138" s="322" t="str">
        <f>IF(E7="X",IF(OR(E138&lt;=0,E138&lt;E133),"Il valore deve essere maggiore di zero e maggiore o uguale a C_ACQ-tot",""),IF(E138&lt;&gt;"","Non risulta gestita la distribuzione",""))</f>
        <v/>
      </c>
      <c r="K138" s="27"/>
      <c r="L138" s="27">
        <f t="shared" si="12"/>
        <v>0</v>
      </c>
    </row>
    <row r="139" spans="1:12" ht="59.25" customHeight="1" x14ac:dyDescent="0.25">
      <c r="A139" s="155" t="s">
        <v>185</v>
      </c>
      <c r="B139" s="86" t="s">
        <v>2534</v>
      </c>
      <c r="C139" s="195" t="s">
        <v>8</v>
      </c>
      <c r="D139" s="430"/>
      <c r="E139" s="341"/>
      <c r="F139" s="214"/>
      <c r="H139" s="520"/>
      <c r="I139" s="322" t="str">
        <f>IF(AND(E7="X",OR(E139&lt;0,E139&gt;E138,E139="",E139&lt;E134)),"Il valore deve essere maggiore o uguale a zero, maggiore o uguale a C_ACQ-cnc e minore o uguale a P_ACQ-tot","")</f>
        <v/>
      </c>
      <c r="K139" s="27"/>
      <c r="L139" s="27">
        <f t="shared" si="12"/>
        <v>0</v>
      </c>
    </row>
    <row r="140" spans="1:12" ht="30" customHeight="1" x14ac:dyDescent="0.25">
      <c r="A140" s="155" t="s">
        <v>2373</v>
      </c>
      <c r="B140" s="114" t="s">
        <v>2535</v>
      </c>
      <c r="C140" s="195" t="s">
        <v>8</v>
      </c>
      <c r="D140" s="430"/>
      <c r="E140" s="341"/>
      <c r="F140" s="191"/>
      <c r="H140" s="984"/>
      <c r="I140" s="985" t="str">
        <f>IF(OR(E140&lt;&gt;"",E141&lt;&gt;"",E142&lt;&gt;"",E143&lt;&gt;""),IF(OR(E140&lt;0,E141&lt;0,E142&lt;0,E143&lt;0,E140+E141+E142+E143&lt;&gt;E139),"Ogni di cui deve essere maggiore o uguale a zero e la somma deve essere pari a  P_ACQ-pnc",""),"")</f>
        <v/>
      </c>
      <c r="K140" s="27"/>
      <c r="L140" s="27">
        <f t="shared" si="12"/>
        <v>0</v>
      </c>
    </row>
    <row r="141" spans="1:12" ht="30" customHeight="1" x14ac:dyDescent="0.25">
      <c r="A141" s="155" t="s">
        <v>2374</v>
      </c>
      <c r="B141" s="114" t="s">
        <v>2536</v>
      </c>
      <c r="C141" s="195" t="s">
        <v>8</v>
      </c>
      <c r="D141" s="430"/>
      <c r="E141" s="341"/>
      <c r="F141" s="191"/>
      <c r="H141" s="984"/>
      <c r="I141" s="985"/>
      <c r="K141" s="27"/>
      <c r="L141" s="27">
        <f t="shared" si="12"/>
        <v>0</v>
      </c>
    </row>
    <row r="142" spans="1:12" ht="30" customHeight="1" x14ac:dyDescent="0.25">
      <c r="A142" s="155" t="s">
        <v>579</v>
      </c>
      <c r="B142" s="114" t="s">
        <v>2537</v>
      </c>
      <c r="C142" s="195" t="s">
        <v>8</v>
      </c>
      <c r="D142" s="430"/>
      <c r="E142" s="341"/>
      <c r="F142" s="239"/>
      <c r="H142" s="984"/>
      <c r="I142" s="985"/>
      <c r="K142" s="27"/>
      <c r="L142" s="27">
        <f t="shared" si="12"/>
        <v>0</v>
      </c>
    </row>
    <row r="143" spans="1:12" ht="30" customHeight="1" x14ac:dyDescent="0.25">
      <c r="A143" s="155" t="s">
        <v>2896</v>
      </c>
      <c r="B143" s="114" t="s">
        <v>2538</v>
      </c>
      <c r="C143" s="195" t="s">
        <v>8</v>
      </c>
      <c r="D143" s="430"/>
      <c r="E143" s="341"/>
      <c r="F143" s="239"/>
      <c r="H143" s="986"/>
      <c r="I143" s="987"/>
      <c r="K143" s="27"/>
      <c r="L143" s="27">
        <f t="shared" ref="L143" si="14">IF(I143="",0,1)</f>
        <v>0</v>
      </c>
    </row>
    <row r="144" spans="1:12" ht="30" customHeight="1" x14ac:dyDescent="0.25">
      <c r="A144" s="243" t="s">
        <v>186</v>
      </c>
      <c r="B144" s="103" t="s">
        <v>187</v>
      </c>
      <c r="C144" s="267" t="s">
        <v>4</v>
      </c>
      <c r="D144" s="505"/>
      <c r="E144" s="368" t="str">
        <f>IF(AND(E138&gt;0,E139&gt;=0,E139&lt;&gt;"",E139&lt;=E138),E139/E138,"")</f>
        <v/>
      </c>
      <c r="F144" s="191" t="s">
        <v>188</v>
      </c>
      <c r="H144" s="520"/>
      <c r="I144" s="322" t="str">
        <f>IF(AND(E7="X",E144=""),"Indicatore non calcolabile","")</f>
        <v/>
      </c>
      <c r="K144" s="27"/>
      <c r="L144" s="27">
        <f t="shared" si="12"/>
        <v>0</v>
      </c>
    </row>
    <row r="145" spans="1:12" ht="30" customHeight="1" x14ac:dyDescent="0.25">
      <c r="A145" s="243" t="s">
        <v>189</v>
      </c>
      <c r="B145" s="103" t="s">
        <v>190</v>
      </c>
      <c r="C145" s="278" t="s">
        <v>1</v>
      </c>
      <c r="D145" s="479"/>
      <c r="E145" s="308" t="str">
        <f>IF(E132="","",IF(AND(E132="",E137="",E144=""),"",IF(E132&gt;(0.005/100),"E",IF(AND(E132&lt;=(0.005/100),E137&gt;(5/100)),"D",IF(AND(E132&lt;=(0.005/100),E137&gt;(1/100)),"C",IF(AND(E132&lt;=(0.001/100),E137&lt;=(1/100),E144&lt;=(0.04/100)),"A",IF(AND(E132&lt;=(0.005/100),E137&lt;=(1/100)),"B","B")))))))</f>
        <v/>
      </c>
      <c r="F145" s="191" t="s">
        <v>2539</v>
      </c>
      <c r="H145" s="525"/>
      <c r="I145" s="321"/>
      <c r="K145" s="27"/>
      <c r="L145" s="27">
        <f t="shared" si="12"/>
        <v>0</v>
      </c>
    </row>
    <row r="146" spans="1:12" ht="30" customHeight="1" x14ac:dyDescent="0.25">
      <c r="A146" s="243" t="s">
        <v>191</v>
      </c>
      <c r="B146" s="103" t="s">
        <v>192</v>
      </c>
      <c r="C146" s="278" t="s">
        <v>1</v>
      </c>
      <c r="D146" s="506"/>
      <c r="E146" s="312" t="str">
        <f>IF(E145="A","Mantenimento",IF(E145="B","-4% di M3b",IF(E145="C","-6% di M3b",IF(E145="D","-8% di M3b",IF(E145="E","-10% di M3b","")))))</f>
        <v/>
      </c>
      <c r="F146" s="191" t="s">
        <v>2539</v>
      </c>
      <c r="H146" s="525"/>
      <c r="I146" s="321"/>
      <c r="K146" s="27"/>
      <c r="L146" s="27">
        <f t="shared" si="12"/>
        <v>0</v>
      </c>
    </row>
    <row r="147" spans="1:12" ht="45" customHeight="1" x14ac:dyDescent="0.25">
      <c r="A147" s="243" t="s">
        <v>193</v>
      </c>
      <c r="B147" s="103" t="s">
        <v>194</v>
      </c>
      <c r="C147" s="267" t="s">
        <v>551</v>
      </c>
      <c r="D147" s="507"/>
      <c r="E147" s="369" t="str">
        <f>IF(AND(E40&gt;0,E133&gt;0),E133/E40*1000,"")</f>
        <v/>
      </c>
      <c r="F147" s="191" t="s">
        <v>2555</v>
      </c>
      <c r="H147" s="525"/>
      <c r="I147" s="321"/>
      <c r="K147" s="27"/>
      <c r="L147" s="27">
        <f t="shared" si="12"/>
        <v>0</v>
      </c>
    </row>
    <row r="148" spans="1:12" ht="63.75" x14ac:dyDescent="0.25">
      <c r="A148" s="155" t="s">
        <v>583</v>
      </c>
      <c r="B148" s="86" t="s">
        <v>2543</v>
      </c>
      <c r="C148" s="267" t="s">
        <v>1</v>
      </c>
      <c r="D148" s="499"/>
      <c r="E148" s="424"/>
      <c r="F148" s="191" t="s">
        <v>2897</v>
      </c>
      <c r="H148" s="525"/>
      <c r="I148" s="321"/>
      <c r="K148" s="27"/>
      <c r="L148" s="27">
        <f t="shared" si="12"/>
        <v>0</v>
      </c>
    </row>
    <row r="149" spans="1:12" ht="45" customHeight="1" x14ac:dyDescent="0.25">
      <c r="A149" s="155" t="s">
        <v>2898</v>
      </c>
      <c r="B149" s="86" t="s">
        <v>2554</v>
      </c>
      <c r="C149" s="195" t="s">
        <v>8</v>
      </c>
      <c r="D149" s="430"/>
      <c r="E149" s="341"/>
      <c r="F149" s="191" t="s">
        <v>2624</v>
      </c>
      <c r="H149" s="520"/>
      <c r="I149" s="322" t="str">
        <f>IF(AND(E149&lt;&gt;"",OR(E149&gt;E87,E149&lt;0)),"Il valore deve essere maggiore o uguale a zero e inferiore o uguale a U_tot,ACQ","")</f>
        <v/>
      </c>
      <c r="K149" s="27"/>
      <c r="L149" s="27">
        <f t="shared" si="12"/>
        <v>0</v>
      </c>
    </row>
    <row r="150" spans="1:12" ht="30" customHeight="1" thickBot="1" x14ac:dyDescent="0.3">
      <c r="A150" s="156" t="s">
        <v>195</v>
      </c>
      <c r="B150" s="148" t="s">
        <v>196</v>
      </c>
      <c r="C150" s="268" t="s">
        <v>4</v>
      </c>
      <c r="D150" s="508"/>
      <c r="E150" s="370" t="str">
        <f>IF(AND(E87&gt;0,E149&lt;=E87,E149&gt;=0),E149/E87,"")</f>
        <v/>
      </c>
      <c r="F150" s="192" t="s">
        <v>197</v>
      </c>
      <c r="H150" s="522"/>
      <c r="I150" s="371"/>
      <c r="K150" s="27"/>
      <c r="L150" s="27">
        <f t="shared" si="12"/>
        <v>0</v>
      </c>
    </row>
    <row r="153" spans="1:12" x14ac:dyDescent="0.25">
      <c r="B153" s="162" t="s">
        <v>469</v>
      </c>
    </row>
    <row r="154" spans="1:12" x14ac:dyDescent="0.25">
      <c r="B154" s="57" t="s">
        <v>470</v>
      </c>
    </row>
    <row r="155" spans="1:12" x14ac:dyDescent="0.25">
      <c r="B155" s="163" t="s">
        <v>5</v>
      </c>
    </row>
    <row r="156" spans="1:12" x14ac:dyDescent="0.25">
      <c r="B156" s="59" t="s">
        <v>6</v>
      </c>
    </row>
    <row r="157" spans="1:12" x14ac:dyDescent="0.25">
      <c r="B157" s="60"/>
    </row>
    <row r="158" spans="1:12" x14ac:dyDescent="0.25">
      <c r="B158" s="164"/>
    </row>
    <row r="159" spans="1:12" x14ac:dyDescent="0.25">
      <c r="A159" s="61"/>
      <c r="B159" s="62" t="s">
        <v>0</v>
      </c>
    </row>
  </sheetData>
  <sheetProtection algorithmName="SHA-512" hashValue="OcMAMNQm+Se7vBADjmJX9hLRx8xbt/xTDN00uGTO3cjLzrMkbvFwrZIo5vqZML7fV3ke1DbwpAwiw73SGWPN3g==" saltValue="YKvYeHXULjhLeU5uAAnjwA==" spinCount="100000" sheet="1" objects="1" scenarios="1"/>
  <mergeCells count="22">
    <mergeCell ref="H57:H58"/>
    <mergeCell ref="I57:I58"/>
    <mergeCell ref="H70:H71"/>
    <mergeCell ref="I70:I71"/>
    <mergeCell ref="H140:H143"/>
    <mergeCell ref="I140:I143"/>
    <mergeCell ref="H68:H69"/>
    <mergeCell ref="I68:I69"/>
    <mergeCell ref="H135:H136"/>
    <mergeCell ref="I135:I136"/>
    <mergeCell ref="H81:H82"/>
    <mergeCell ref="I81:I82"/>
    <mergeCell ref="H85:H86"/>
    <mergeCell ref="I85:I86"/>
    <mergeCell ref="H105:H106"/>
    <mergeCell ref="I105:I106"/>
    <mergeCell ref="H29:H30"/>
    <mergeCell ref="I29:I30"/>
    <mergeCell ref="H35:H38"/>
    <mergeCell ref="I35:I38"/>
    <mergeCell ref="H43:H44"/>
    <mergeCell ref="I43:I44"/>
  </mergeCells>
  <phoneticPr fontId="88" type="noConversion"/>
  <conditionalFormatting sqref="L2">
    <cfRule type="cellIs" dxfId="25" priority="1" operator="lessThanOrEqual">
      <formula>0</formula>
    </cfRule>
    <cfRule type="cellIs" dxfId="24" priority="2" operator="greaterThan">
      <formula>0</formula>
    </cfRule>
  </conditionalFormatting>
  <dataValidations count="5">
    <dataValidation type="list" allowBlank="1" showInputMessage="1" showErrorMessage="1" sqref="E116:E118 E125 E100:E101 E77 E148 E25" xr:uid="{9B06B60A-4B09-48BB-9D77-52A02685CF66}">
      <formula1>$B$158:$B$159</formula1>
    </dataValidation>
    <dataValidation type="list" showInputMessage="1" showErrorMessage="1" sqref="E124" xr:uid="{EA4B6D50-D428-403D-90E2-F35CCDE00149}">
      <formula1>$B$153:$B$154</formula1>
    </dataValidation>
    <dataValidation type="list" allowBlank="1" showInputMessage="1" showErrorMessage="1" sqref="E3 E24" xr:uid="{A55CB589-9A74-43A9-9072-E425DFA0B4DE}">
      <formula1>$B$155:$B$156</formula1>
    </dataValidation>
    <dataValidation type="list" showInputMessage="1" showErrorMessage="1" sqref="E4:E7" xr:uid="{9AC2D320-C58F-4A6A-B16A-10407BB37C16}">
      <formula1>$B$158:$B$159</formula1>
    </dataValidation>
    <dataValidation type="list" allowBlank="1" showInputMessage="1" showErrorMessage="1" sqref="E76 E23" xr:uid="{8933EE42-2AE0-4E88-877C-8F7BB94E2D08}">
      <formula1>$B$153:$B$154</formula1>
    </dataValidation>
  </dataValidations>
  <pageMargins left="0.59055118110236227" right="0.23622047244094491" top="0.31496062992125984" bottom="0.35433070866141736" header="0.15748031496062992" footer="0.19685039370078741"/>
  <pageSetup paperSize="8" scale="4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88342-07A1-40E5-83D1-712AE5192F1D}">
  <sheetPr>
    <tabColor theme="3" tint="0.79998168889431442"/>
    <pageSetUpPr fitToPage="1"/>
  </sheetPr>
  <dimension ref="A1:L195"/>
  <sheetViews>
    <sheetView showGridLines="0" zoomScale="80" zoomScaleNormal="80" workbookViewId="0">
      <pane xSplit="3" ySplit="2" topLeftCell="E3" activePane="bottomRight" state="frozen"/>
      <selection activeCell="B4" sqref="B4"/>
      <selection pane="topRight" activeCell="B4" sqref="B4"/>
      <selection pane="bottomLeft" activeCell="B4" sqref="B4"/>
      <selection pane="bottomRight"/>
    </sheetView>
  </sheetViews>
  <sheetFormatPr defaultColWidth="8.85546875" defaultRowHeight="15" x14ac:dyDescent="0.25"/>
  <cols>
    <col min="1" max="1" width="12.85546875" customWidth="1"/>
    <col min="2" max="2" width="50.85546875" customWidth="1"/>
    <col min="3" max="3" width="9.85546875" customWidth="1"/>
    <col min="4" max="4" width="13.85546875" hidden="1" customWidth="1"/>
    <col min="5" max="5" width="14.85546875" customWidth="1"/>
    <col min="6" max="6" width="50.85546875" customWidth="1"/>
    <col min="7" max="7" width="2.85546875" customWidth="1"/>
    <col min="8" max="8" width="25.85546875" hidden="1" customWidth="1"/>
    <col min="9" max="9" width="25.85546875" customWidth="1"/>
    <col min="10" max="10" width="2.85546875" customWidth="1"/>
    <col min="11" max="11" width="20.85546875" style="38" hidden="1" customWidth="1"/>
    <col min="12" max="12" width="20.85546875" style="38" customWidth="1"/>
  </cols>
  <sheetData>
    <row r="1" spans="1:12" ht="69.95" customHeight="1" thickBot="1" x14ac:dyDescent="0.3">
      <c r="A1" s="16"/>
      <c r="B1" s="17" t="s">
        <v>2345</v>
      </c>
      <c r="C1" s="16"/>
      <c r="D1" s="18"/>
      <c r="E1" s="18"/>
      <c r="F1" s="19"/>
      <c r="K1" s="509"/>
      <c r="L1" s="210" t="s">
        <v>3089</v>
      </c>
    </row>
    <row r="2" spans="1:12" ht="70.349999999999994" customHeight="1" thickBot="1" x14ac:dyDescent="0.3">
      <c r="A2" s="20" t="s">
        <v>41</v>
      </c>
      <c r="B2" s="21" t="s">
        <v>42</v>
      </c>
      <c r="C2" s="186" t="s">
        <v>7</v>
      </c>
      <c r="D2" s="469"/>
      <c r="E2" s="379" t="s">
        <v>3087</v>
      </c>
      <c r="F2" s="187" t="s">
        <v>9</v>
      </c>
      <c r="H2" s="518"/>
      <c r="I2" s="212" t="s">
        <v>3088</v>
      </c>
      <c r="K2" s="510"/>
      <c r="L2" s="211">
        <f>SUM(L3:L48)</f>
        <v>0</v>
      </c>
    </row>
    <row r="3" spans="1:12" ht="32.1" customHeight="1" x14ac:dyDescent="0.25">
      <c r="A3" s="63" t="s">
        <v>20</v>
      </c>
      <c r="B3" s="40" t="s">
        <v>21</v>
      </c>
      <c r="C3" s="194" t="s">
        <v>1</v>
      </c>
      <c r="D3" s="470"/>
      <c r="E3" s="222"/>
      <c r="F3" s="196" t="s">
        <v>531</v>
      </c>
      <c r="H3" s="530"/>
      <c r="I3" s="226"/>
      <c r="K3" s="27"/>
      <c r="L3" s="27">
        <f t="shared" ref="L3:L48" si="0">IF(I3="",0,1)</f>
        <v>0</v>
      </c>
    </row>
    <row r="4" spans="1:12" ht="25.35" customHeight="1" x14ac:dyDescent="0.25">
      <c r="A4" s="137" t="s">
        <v>22</v>
      </c>
      <c r="B4" s="118" t="s">
        <v>23</v>
      </c>
      <c r="C4" s="267" t="s">
        <v>1</v>
      </c>
      <c r="D4" s="471"/>
      <c r="E4" s="380"/>
      <c r="F4" s="220"/>
      <c r="H4" s="523"/>
      <c r="I4" s="326"/>
      <c r="K4" s="27"/>
      <c r="L4" s="27">
        <f t="shared" si="0"/>
        <v>0</v>
      </c>
    </row>
    <row r="5" spans="1:12" ht="25.35" customHeight="1" x14ac:dyDescent="0.25">
      <c r="A5" s="137" t="s">
        <v>24</v>
      </c>
      <c r="B5" s="118" t="s">
        <v>25</v>
      </c>
      <c r="C5" s="267" t="s">
        <v>1</v>
      </c>
      <c r="D5" s="471"/>
      <c r="E5" s="380"/>
      <c r="F5" s="220"/>
      <c r="H5" s="523"/>
      <c r="I5" s="326"/>
      <c r="K5" s="27"/>
      <c r="L5" s="27">
        <f t="shared" si="0"/>
        <v>0</v>
      </c>
    </row>
    <row r="6" spans="1:12" ht="25.35" customHeight="1" x14ac:dyDescent="0.25">
      <c r="A6" s="137" t="s">
        <v>26</v>
      </c>
      <c r="B6" s="118" t="s">
        <v>27</v>
      </c>
      <c r="C6" s="267" t="s">
        <v>1</v>
      </c>
      <c r="D6" s="471"/>
      <c r="E6" s="380"/>
      <c r="F6" s="221" t="s">
        <v>28</v>
      </c>
      <c r="H6" s="523"/>
      <c r="I6" s="326"/>
      <c r="K6" s="27"/>
      <c r="L6" s="27">
        <f t="shared" si="0"/>
        <v>0</v>
      </c>
    </row>
    <row r="7" spans="1:12" ht="30" customHeight="1" x14ac:dyDescent="0.25">
      <c r="A7" s="83" t="s">
        <v>219</v>
      </c>
      <c r="B7" s="108" t="s">
        <v>220</v>
      </c>
      <c r="C7" s="264" t="s">
        <v>45</v>
      </c>
      <c r="D7" s="439"/>
      <c r="E7" s="381"/>
      <c r="F7" s="191"/>
      <c r="H7" s="520"/>
      <c r="I7" s="322" t="str">
        <f>IF(E$3="SI",IF(E7&lt;=0,"Il valore deve essere maggiore di zero",""),IF(E7&lt;&gt;0,"Non risulta gestito il servizio di fognatura",""))</f>
        <v/>
      </c>
      <c r="K7" s="27"/>
      <c r="L7" s="27">
        <f t="shared" si="0"/>
        <v>0</v>
      </c>
    </row>
    <row r="8" spans="1:12" ht="30" customHeight="1" x14ac:dyDescent="0.25">
      <c r="A8" s="171" t="s">
        <v>221</v>
      </c>
      <c r="B8" s="105" t="s">
        <v>222</v>
      </c>
      <c r="C8" s="195" t="s">
        <v>45</v>
      </c>
      <c r="D8" s="439"/>
      <c r="E8" s="381"/>
      <c r="F8" s="191"/>
      <c r="H8" s="520"/>
      <c r="I8" s="322" t="str">
        <f>IF(E8&lt;0,"Il valore deve essere maggiore o uguale a zero","")</f>
        <v/>
      </c>
      <c r="K8" s="27"/>
      <c r="L8" s="27">
        <f t="shared" si="0"/>
        <v>0</v>
      </c>
    </row>
    <row r="9" spans="1:12" ht="30" customHeight="1" x14ac:dyDescent="0.25">
      <c r="A9" s="165" t="s">
        <v>564</v>
      </c>
      <c r="B9" s="151" t="s">
        <v>567</v>
      </c>
      <c r="C9" s="298" t="s">
        <v>552</v>
      </c>
      <c r="D9" s="439"/>
      <c r="E9" s="381"/>
      <c r="F9" s="191"/>
      <c r="H9" s="520"/>
      <c r="I9" s="322" t="str">
        <f>IF(E$3="SI",IF(E9&lt;=0,"Il valore deve essere maggiore di zero",""),IF(E9&lt;&gt;0,"Non risulta gestito il servizio di fognatura",""))</f>
        <v/>
      </c>
      <c r="K9" s="27"/>
      <c r="L9" s="27">
        <f t="shared" si="0"/>
        <v>0</v>
      </c>
    </row>
    <row r="10" spans="1:12" ht="30" customHeight="1" x14ac:dyDescent="0.25">
      <c r="A10" s="165" t="s">
        <v>565</v>
      </c>
      <c r="B10" s="151" t="s">
        <v>566</v>
      </c>
      <c r="C10" s="298" t="s">
        <v>2338</v>
      </c>
      <c r="D10" s="439"/>
      <c r="E10" s="381"/>
      <c r="F10" s="191"/>
      <c r="H10" s="520"/>
      <c r="I10" s="322" t="str">
        <f>IF(E$3="SI",IF(E10&lt;=0,"Il valore deve essere maggiore di zero",""),IF(E10&lt;&gt;0,"Non risulta gestito il servizio di fognatura",""))</f>
        <v/>
      </c>
      <c r="K10" s="27"/>
      <c r="L10" s="27">
        <f t="shared" si="0"/>
        <v>0</v>
      </c>
    </row>
    <row r="11" spans="1:12" ht="32.1" customHeight="1" thickBot="1" x14ac:dyDescent="0.3">
      <c r="A11" s="159" t="s">
        <v>317</v>
      </c>
      <c r="B11" s="161" t="s">
        <v>318</v>
      </c>
      <c r="C11" s="377" t="s">
        <v>216</v>
      </c>
      <c r="D11" s="446"/>
      <c r="E11" s="382"/>
      <c r="F11" s="378" t="s">
        <v>529</v>
      </c>
      <c r="G11" s="81"/>
      <c r="H11" s="521"/>
      <c r="I11" s="325" t="str">
        <f>IF(E11&lt;0,"Il valore deve essere maggiore o uguale a zero","")</f>
        <v/>
      </c>
      <c r="J11" s="81"/>
      <c r="K11" s="27"/>
      <c r="L11" s="27">
        <f t="shared" si="0"/>
        <v>0</v>
      </c>
    </row>
    <row r="12" spans="1:12" ht="10.5" customHeight="1" x14ac:dyDescent="0.25">
      <c r="A12" s="64"/>
      <c r="B12" s="65"/>
      <c r="C12" s="66"/>
      <c r="D12" s="66"/>
      <c r="E12" s="66"/>
      <c r="F12" s="66"/>
      <c r="G12" s="66"/>
      <c r="H12" s="66"/>
      <c r="I12" s="69"/>
      <c r="K12" s="27"/>
      <c r="L12" s="27">
        <f t="shared" si="0"/>
        <v>0</v>
      </c>
    </row>
    <row r="13" spans="1:12" ht="18" thickBot="1" x14ac:dyDescent="0.3">
      <c r="A13" s="878" t="s">
        <v>3149</v>
      </c>
      <c r="B13" s="65"/>
      <c r="C13" s="66"/>
      <c r="D13" s="66"/>
      <c r="E13" s="66"/>
      <c r="F13" s="66"/>
      <c r="G13" s="66"/>
      <c r="H13" s="66"/>
      <c r="I13" s="69"/>
      <c r="K13" s="27"/>
      <c r="L13" s="27">
        <f t="shared" si="0"/>
        <v>0</v>
      </c>
    </row>
    <row r="14" spans="1:12" ht="37.5" customHeight="1" x14ac:dyDescent="0.25">
      <c r="A14" s="70" t="s">
        <v>471</v>
      </c>
      <c r="B14" s="71" t="s">
        <v>2444</v>
      </c>
      <c r="C14" s="263" t="s">
        <v>8</v>
      </c>
      <c r="D14" s="472"/>
      <c r="E14" s="383"/>
      <c r="F14" s="235"/>
      <c r="H14" s="519"/>
      <c r="I14" s="206" t="str">
        <f>IF(E3="SI",IF(OR(E14&lt;0,E14=""),"Il valore deve essere maggiore o uguale a zero",""),IF(E14&lt;&gt;0,"Non risulta gestito il servizio di fognatura",""))</f>
        <v/>
      </c>
      <c r="K14" s="27"/>
      <c r="L14" s="27">
        <f t="shared" si="0"/>
        <v>0</v>
      </c>
    </row>
    <row r="15" spans="1:12" ht="45" customHeight="1" x14ac:dyDescent="0.25">
      <c r="A15" s="224" t="s">
        <v>472</v>
      </c>
      <c r="B15" s="119" t="s">
        <v>2445</v>
      </c>
      <c r="C15" s="260" t="s">
        <v>3</v>
      </c>
      <c r="D15" s="473"/>
      <c r="E15" s="384"/>
      <c r="F15" s="236"/>
      <c r="H15" s="520"/>
      <c r="I15" s="322" t="str">
        <f>IF(E3="SI",IF(OR(E15&lt;0,E15=""),"Il valore deve essere maggiore o uguale a zero",""),IF(E15&lt;&gt;0,"Non risulta gestito il servizio di fognatura",""))</f>
        <v/>
      </c>
      <c r="K15" s="27"/>
      <c r="L15" s="27">
        <f t="shared" si="0"/>
        <v>0</v>
      </c>
    </row>
    <row r="16" spans="1:12" ht="45" customHeight="1" x14ac:dyDescent="0.25">
      <c r="A16" s="84" t="s">
        <v>515</v>
      </c>
      <c r="B16" s="85" t="s">
        <v>516</v>
      </c>
      <c r="C16" s="265" t="s">
        <v>1</v>
      </c>
      <c r="D16" s="474"/>
      <c r="E16" s="385" t="str">
        <f t="shared" ref="E16" si="1">IF(E3="SI",IF(OR(E14&gt;0,E15&gt;0,AND(E14="",E15="")),"NO","SI"),"")</f>
        <v/>
      </c>
      <c r="F16" s="191" t="s">
        <v>3030</v>
      </c>
      <c r="H16" s="520"/>
      <c r="I16" s="322" t="str">
        <f>IF(AND(E$3="SI",E16="NO"),"Attenzione, prerequisito mancante","")</f>
        <v/>
      </c>
      <c r="K16" s="27"/>
      <c r="L16" s="27">
        <f t="shared" si="0"/>
        <v>0</v>
      </c>
    </row>
    <row r="17" spans="1:12" ht="43.5" customHeight="1" x14ac:dyDescent="0.25">
      <c r="A17" s="84" t="s">
        <v>518</v>
      </c>
      <c r="B17" s="51" t="s">
        <v>517</v>
      </c>
      <c r="C17" s="266" t="s">
        <v>1</v>
      </c>
      <c r="D17" s="475"/>
      <c r="E17" s="337"/>
      <c r="F17" s="277" t="s">
        <v>3031</v>
      </c>
      <c r="H17" s="520"/>
      <c r="I17" s="322" t="str">
        <f>IF(AND(E$3="SI",OR(E17="Non adeguato",E17="")),"Attenzione, prerequisito mancante","")</f>
        <v/>
      </c>
      <c r="K17" s="27"/>
      <c r="L17" s="27">
        <f t="shared" si="0"/>
        <v>0</v>
      </c>
    </row>
    <row r="18" spans="1:12" ht="45" customHeight="1" thickBot="1" x14ac:dyDescent="0.3">
      <c r="A18" s="87" t="s">
        <v>224</v>
      </c>
      <c r="B18" s="88" t="s">
        <v>225</v>
      </c>
      <c r="C18" s="333" t="s">
        <v>1</v>
      </c>
      <c r="D18" s="431"/>
      <c r="E18" s="338"/>
      <c r="F18" s="340" t="s">
        <v>3029</v>
      </c>
      <c r="H18" s="522"/>
      <c r="I18" s="371"/>
      <c r="K18" s="27"/>
      <c r="L18" s="27">
        <f t="shared" si="0"/>
        <v>0</v>
      </c>
    </row>
    <row r="19" spans="1:12" ht="10.5" customHeight="1" x14ac:dyDescent="0.25">
      <c r="K19" s="27"/>
      <c r="L19" s="27">
        <f t="shared" si="0"/>
        <v>0</v>
      </c>
    </row>
    <row r="20" spans="1:12" ht="18" thickBot="1" x14ac:dyDescent="0.3">
      <c r="A20" s="32" t="s">
        <v>223</v>
      </c>
      <c r="B20" s="65"/>
      <c r="C20" s="66"/>
      <c r="D20" s="66"/>
      <c r="E20" s="66"/>
      <c r="F20" s="66"/>
      <c r="G20" s="66"/>
      <c r="H20" s="66"/>
      <c r="I20" s="66"/>
      <c r="K20" s="27"/>
      <c r="L20" s="27">
        <f t="shared" si="0"/>
        <v>0</v>
      </c>
    </row>
    <row r="21" spans="1:12" ht="30" customHeight="1" x14ac:dyDescent="0.25">
      <c r="A21" s="63" t="s">
        <v>226</v>
      </c>
      <c r="B21" s="40" t="s">
        <v>227</v>
      </c>
      <c r="C21" s="194" t="s">
        <v>2</v>
      </c>
      <c r="D21" s="476"/>
      <c r="E21" s="219"/>
      <c r="F21" s="190"/>
      <c r="H21" s="519"/>
      <c r="I21" s="206" t="str">
        <f t="shared" ref="I21:I23" si="2">IF(E21&lt;0,"Il valore deve essere maggiore o uguale a zero","")</f>
        <v/>
      </c>
      <c r="K21" s="27"/>
      <c r="L21" s="27">
        <f t="shared" si="0"/>
        <v>0</v>
      </c>
    </row>
    <row r="22" spans="1:12" ht="30" customHeight="1" x14ac:dyDescent="0.25">
      <c r="A22" s="137" t="s">
        <v>228</v>
      </c>
      <c r="B22" s="105" t="s">
        <v>229</v>
      </c>
      <c r="C22" s="195" t="s">
        <v>2</v>
      </c>
      <c r="D22" s="444"/>
      <c r="E22" s="334"/>
      <c r="F22" s="191" t="s">
        <v>230</v>
      </c>
      <c r="H22" s="520"/>
      <c r="I22" s="322" t="str">
        <f t="shared" si="2"/>
        <v/>
      </c>
      <c r="K22" s="27"/>
      <c r="L22" s="27">
        <f t="shared" si="0"/>
        <v>0</v>
      </c>
    </row>
    <row r="23" spans="1:12" ht="30" customHeight="1" x14ac:dyDescent="0.25">
      <c r="A23" s="137" t="s">
        <v>231</v>
      </c>
      <c r="B23" s="105" t="s">
        <v>232</v>
      </c>
      <c r="C23" s="195" t="s">
        <v>2</v>
      </c>
      <c r="D23" s="444"/>
      <c r="E23" s="334"/>
      <c r="F23" s="191"/>
      <c r="H23" s="520"/>
      <c r="I23" s="322" t="str">
        <f t="shared" si="2"/>
        <v/>
      </c>
      <c r="K23" s="27"/>
      <c r="L23" s="27">
        <f t="shared" si="0"/>
        <v>0</v>
      </c>
    </row>
    <row r="24" spans="1:12" ht="30" customHeight="1" x14ac:dyDescent="0.25">
      <c r="A24" s="137" t="s">
        <v>233</v>
      </c>
      <c r="B24" s="105" t="s">
        <v>234</v>
      </c>
      <c r="C24" s="195" t="s">
        <v>2</v>
      </c>
      <c r="D24" s="445"/>
      <c r="E24" s="386">
        <f t="shared" ref="E24" si="3">E21+E22+E23</f>
        <v>0</v>
      </c>
      <c r="F24" s="191"/>
      <c r="H24" s="520"/>
      <c r="I24" s="322" t="str">
        <f>IF(AND(E3="SI",E24&lt;=0),"La lunghezza della rete fognaria principale deve essere maggiore di zero","")</f>
        <v/>
      </c>
      <c r="K24" s="27"/>
      <c r="L24" s="27">
        <f t="shared" si="0"/>
        <v>0</v>
      </c>
    </row>
    <row r="25" spans="1:12" ht="39.75" customHeight="1" x14ac:dyDescent="0.25">
      <c r="A25" s="171" t="s">
        <v>235</v>
      </c>
      <c r="B25" s="105" t="s">
        <v>236</v>
      </c>
      <c r="C25" s="195" t="s">
        <v>8</v>
      </c>
      <c r="D25" s="444"/>
      <c r="E25" s="334"/>
      <c r="F25" s="191"/>
      <c r="H25" s="520"/>
      <c r="I25" s="322" t="str">
        <f t="shared" ref="I25:I27" si="4">IF(E25&lt;0,"Il valore deve essere maggiore o uguale a zero","")</f>
        <v/>
      </c>
      <c r="K25" s="27"/>
      <c r="L25" s="27">
        <f t="shared" si="0"/>
        <v>0</v>
      </c>
    </row>
    <row r="26" spans="1:12" ht="39.75" customHeight="1" x14ac:dyDescent="0.25">
      <c r="A26" s="171" t="s">
        <v>237</v>
      </c>
      <c r="B26" s="105" t="s">
        <v>238</v>
      </c>
      <c r="C26" s="195" t="s">
        <v>8</v>
      </c>
      <c r="D26" s="444"/>
      <c r="E26" s="334"/>
      <c r="F26" s="191"/>
      <c r="H26" s="520"/>
      <c r="I26" s="322" t="str">
        <f t="shared" si="4"/>
        <v/>
      </c>
      <c r="K26" s="27"/>
      <c r="L26" s="27">
        <f t="shared" si="0"/>
        <v>0</v>
      </c>
    </row>
    <row r="27" spans="1:12" ht="30" customHeight="1" x14ac:dyDescent="0.25">
      <c r="A27" s="171" t="s">
        <v>239</v>
      </c>
      <c r="B27" s="105" t="s">
        <v>240</v>
      </c>
      <c r="C27" s="195" t="s">
        <v>8</v>
      </c>
      <c r="D27" s="444"/>
      <c r="E27" s="334"/>
      <c r="F27" s="191"/>
      <c r="H27" s="520"/>
      <c r="I27" s="322" t="str">
        <f t="shared" si="4"/>
        <v/>
      </c>
      <c r="K27" s="27"/>
      <c r="L27" s="27">
        <f t="shared" si="0"/>
        <v>0</v>
      </c>
    </row>
    <row r="28" spans="1:12" ht="30" customHeight="1" x14ac:dyDescent="0.25">
      <c r="A28" s="143" t="s">
        <v>241</v>
      </c>
      <c r="B28" s="109" t="s">
        <v>242</v>
      </c>
      <c r="C28" s="267" t="s">
        <v>243</v>
      </c>
      <c r="D28" s="477"/>
      <c r="E28" s="387" t="str">
        <f t="shared" ref="E28" si="5">IF(AND(E24&gt;0,OR(E25&lt;&gt;"",E26&lt;&gt;"",E27&lt;&gt;""),E25&gt;=0,E26&gt;=0,E27&gt;=0,E21&gt;=0,E22&gt;=0,E23&gt;=0),(E25+E26+E27)/(E21+E22+E23)*100,"")</f>
        <v/>
      </c>
      <c r="F28" s="191" t="s">
        <v>244</v>
      </c>
      <c r="H28" s="520"/>
      <c r="I28" s="322" t="str">
        <f>IF(AND(E3="SI",E28=""),"Indicatore non calcolabile","")</f>
        <v/>
      </c>
      <c r="K28" s="27"/>
      <c r="L28" s="27">
        <f t="shared" si="0"/>
        <v>0</v>
      </c>
    </row>
    <row r="29" spans="1:12" ht="30" customHeight="1" x14ac:dyDescent="0.25">
      <c r="A29" s="137" t="s">
        <v>245</v>
      </c>
      <c r="B29" s="105" t="s">
        <v>246</v>
      </c>
      <c r="C29" s="195" t="s">
        <v>8</v>
      </c>
      <c r="D29" s="444"/>
      <c r="E29" s="334"/>
      <c r="F29" s="191"/>
      <c r="H29" s="520"/>
      <c r="I29" s="322" t="str">
        <f>IF(AND(E21&gt;0,E29=""),"Attenzione, il valore dovrebbe essere maggiore di zero",IF(E29&lt;0,"Il valore deve essere maggiore o uguale a zero",""))</f>
        <v/>
      </c>
      <c r="K29" s="27"/>
      <c r="L29" s="27">
        <f t="shared" si="0"/>
        <v>0</v>
      </c>
    </row>
    <row r="30" spans="1:12" ht="57" customHeight="1" x14ac:dyDescent="0.25">
      <c r="A30" s="171" t="s">
        <v>247</v>
      </c>
      <c r="B30" s="86" t="s">
        <v>2540</v>
      </c>
      <c r="C30" s="195" t="s">
        <v>8</v>
      </c>
      <c r="D30" s="444"/>
      <c r="E30" s="334"/>
      <c r="F30" s="191" t="s">
        <v>2541</v>
      </c>
      <c r="H30" s="520"/>
      <c r="I30" s="322" t="str">
        <f>IF(OR(E30&lt;0,E30&gt;E29),"Il valore deve essere maggiore o uguale a zero e minore o uguale a Nscar_tot","")</f>
        <v/>
      </c>
      <c r="K30" s="27"/>
      <c r="L30" s="27">
        <f t="shared" si="0"/>
        <v>0</v>
      </c>
    </row>
    <row r="31" spans="1:12" ht="32.1" customHeight="1" x14ac:dyDescent="0.25">
      <c r="A31" s="137" t="s">
        <v>248</v>
      </c>
      <c r="B31" s="105" t="s">
        <v>249</v>
      </c>
      <c r="C31" s="195" t="s">
        <v>8</v>
      </c>
      <c r="D31" s="444"/>
      <c r="E31" s="334"/>
      <c r="F31" s="191"/>
      <c r="H31" s="520"/>
      <c r="I31" s="322" t="str">
        <f>IF(E31&lt;0,"Il valore deve essere maggiore o uguale a zero","")</f>
        <v/>
      </c>
      <c r="K31" s="27"/>
      <c r="L31" s="27">
        <f t="shared" si="0"/>
        <v>0</v>
      </c>
    </row>
    <row r="32" spans="1:12" ht="30" customHeight="1" x14ac:dyDescent="0.25">
      <c r="A32" s="146" t="s">
        <v>250</v>
      </c>
      <c r="B32" s="120" t="s">
        <v>519</v>
      </c>
      <c r="C32" s="267" t="s">
        <v>4</v>
      </c>
      <c r="D32" s="478"/>
      <c r="E32" s="388" t="str">
        <f t="shared" ref="E32" si="6">IF(E29="","",IF(E29&lt;=0,"",IF(AND(E29&gt;0,E29&gt;=E30,E30&gt;=0),(E29-E30)/E29,"")))</f>
        <v/>
      </c>
      <c r="F32" s="191" t="s">
        <v>251</v>
      </c>
      <c r="H32" s="520"/>
      <c r="I32" s="322" t="str">
        <f>IF(AND(E3="SI",E32=""),"Indicatore non calcolabile","")</f>
        <v/>
      </c>
      <c r="K32" s="27"/>
      <c r="L32" s="27">
        <f t="shared" si="0"/>
        <v>0</v>
      </c>
    </row>
    <row r="33" spans="1:12" ht="41.25" customHeight="1" x14ac:dyDescent="0.25">
      <c r="A33" s="171" t="s">
        <v>252</v>
      </c>
      <c r="B33" s="105" t="s">
        <v>253</v>
      </c>
      <c r="C33" s="195" t="s">
        <v>8</v>
      </c>
      <c r="D33" s="444"/>
      <c r="E33" s="334"/>
      <c r="F33" s="191" t="s">
        <v>254</v>
      </c>
      <c r="H33" s="520"/>
      <c r="I33" s="322" t="str">
        <f>IF(OR(E33&lt;0,E33&gt;E29),"Il valore deve essere maggiore o uguale a zero e minore o uguale a Nscar_tot","")</f>
        <v/>
      </c>
      <c r="K33" s="27"/>
      <c r="L33" s="27">
        <f t="shared" si="0"/>
        <v>0</v>
      </c>
    </row>
    <row r="34" spans="1:12" ht="30" customHeight="1" x14ac:dyDescent="0.25">
      <c r="A34" s="137" t="s">
        <v>255</v>
      </c>
      <c r="B34" s="105" t="s">
        <v>256</v>
      </c>
      <c r="C34" s="195" t="s">
        <v>8</v>
      </c>
      <c r="D34" s="444"/>
      <c r="E34" s="334"/>
      <c r="F34" s="191" t="s">
        <v>257</v>
      </c>
      <c r="H34" s="520"/>
      <c r="I34" s="322" t="str">
        <f>IF(OR(E34&lt;0,E34&gt;E33),"Il valore deve essere maggiore o uguale a zero e minore o uguale a Nscar_ctrl","")</f>
        <v/>
      </c>
      <c r="K34" s="27"/>
      <c r="L34" s="27">
        <f t="shared" si="0"/>
        <v>0</v>
      </c>
    </row>
    <row r="35" spans="1:12" ht="32.1" customHeight="1" x14ac:dyDescent="0.25">
      <c r="A35" s="137" t="s">
        <v>258</v>
      </c>
      <c r="B35" s="121" t="s">
        <v>259</v>
      </c>
      <c r="C35" s="195" t="s">
        <v>8</v>
      </c>
      <c r="D35" s="444"/>
      <c r="E35" s="334"/>
      <c r="F35" s="191"/>
      <c r="H35" s="520"/>
      <c r="I35" s="322" t="str">
        <f>IF(OR(E35&lt;0,E35&gt;E33),"Il valore deve essere maggiore o uguale a zero e minore o uguale a Nscar_ctrl","")</f>
        <v/>
      </c>
      <c r="K35" s="27"/>
      <c r="L35" s="27">
        <f t="shared" si="0"/>
        <v>0</v>
      </c>
    </row>
    <row r="36" spans="1:12" ht="30" customHeight="1" x14ac:dyDescent="0.25">
      <c r="A36" s="146" t="s">
        <v>260</v>
      </c>
      <c r="B36" s="120" t="s">
        <v>520</v>
      </c>
      <c r="C36" s="267" t="s">
        <v>4</v>
      </c>
      <c r="D36" s="478"/>
      <c r="E36" s="388" t="str">
        <f t="shared" ref="E36" si="7">IF(OR(E29&lt;=0,E29=""),"",IF(AND(E29&gt;0,E29&gt;=E33,E33&gt;=0),(E29-E33)/E29,1))</f>
        <v/>
      </c>
      <c r="F36" s="191" t="s">
        <v>261</v>
      </c>
      <c r="H36" s="520"/>
      <c r="I36" s="322" t="str">
        <f>IF(AND(E3="SI",E36=""),"Indicatore non calcolabile","")</f>
        <v/>
      </c>
      <c r="K36" s="27"/>
      <c r="L36" s="27">
        <f t="shared" si="0"/>
        <v>0</v>
      </c>
    </row>
    <row r="37" spans="1:12" ht="30" customHeight="1" x14ac:dyDescent="0.25">
      <c r="A37" s="142" t="s">
        <v>262</v>
      </c>
      <c r="B37" s="103" t="s">
        <v>263</v>
      </c>
      <c r="C37" s="278" t="s">
        <v>1</v>
      </c>
      <c r="D37" s="479"/>
      <c r="E37" s="308" t="str">
        <f>IF(E28="","",IF(AND(E28="",E32="",E36=""),"",IF(E28&gt;=5,"E",IF(AND(E28&lt;1,E32=0,E36&lt;=0.1),"A",IF(AND(E28&lt;5,E32=0),"B",IF(AND(E28&lt;5,E32&lt;=0.2),"C",IF(AND(E28&lt;5,E32&gt;0.2,E32&lt;&gt;""),"D",IF(AND(E28&lt;1,E32=""),"A",IF(AND(E28&lt;5,E32=""),"B","")))))))))</f>
        <v/>
      </c>
      <c r="F37" s="191" t="s">
        <v>2542</v>
      </c>
      <c r="H37" s="525"/>
      <c r="I37" s="321"/>
      <c r="K37" s="27"/>
      <c r="L37" s="27">
        <f t="shared" si="0"/>
        <v>0</v>
      </c>
    </row>
    <row r="38" spans="1:12" ht="30" customHeight="1" x14ac:dyDescent="0.25">
      <c r="A38" s="146" t="s">
        <v>264</v>
      </c>
      <c r="B38" s="109" t="s">
        <v>265</v>
      </c>
      <c r="C38" s="267" t="s">
        <v>1</v>
      </c>
      <c r="D38" s="480"/>
      <c r="E38" s="309" t="str">
        <f>IF(E37="E","-10% di M4a",IF(E37="D","-10% di M4b",IF(E37="C","-7% di M4b",IF(E37="B","-5% di M4c",IF(E37="A","Mantenimento","")))))</f>
        <v/>
      </c>
      <c r="F38" s="231"/>
      <c r="H38" s="525"/>
      <c r="I38" s="321"/>
      <c r="K38" s="27"/>
      <c r="L38" s="27">
        <f t="shared" si="0"/>
        <v>0</v>
      </c>
    </row>
    <row r="39" spans="1:12" ht="30" customHeight="1" x14ac:dyDescent="0.25">
      <c r="A39" s="137" t="s">
        <v>266</v>
      </c>
      <c r="B39" s="105" t="s">
        <v>267</v>
      </c>
      <c r="C39" s="195" t="s">
        <v>8</v>
      </c>
      <c r="D39" s="444"/>
      <c r="E39" s="334"/>
      <c r="F39" s="191" t="s">
        <v>286</v>
      </c>
      <c r="H39" s="520"/>
      <c r="I39" s="322" t="str">
        <f>IF(AND(E3="SI",OR(E39&lt;0,E39="")),"Il valore deve essere maggiore o uguale a zero","")</f>
        <v/>
      </c>
      <c r="K39" s="27"/>
      <c r="L39" s="27">
        <f t="shared" si="0"/>
        <v>0</v>
      </c>
    </row>
    <row r="40" spans="1:12" ht="32.1" customHeight="1" x14ac:dyDescent="0.25">
      <c r="A40" s="137" t="s">
        <v>268</v>
      </c>
      <c r="B40" s="105" t="s">
        <v>269</v>
      </c>
      <c r="C40" s="195" t="s">
        <v>2</v>
      </c>
      <c r="D40" s="481"/>
      <c r="E40" s="418"/>
      <c r="F40" s="191"/>
      <c r="H40" s="520"/>
      <c r="I40" s="322" t="str">
        <f>IF(OR(E40&lt;0,E40&gt;E21),"Il valore deve essere maggiore o uguale a zero e minore o uguale a Lm","")</f>
        <v/>
      </c>
      <c r="K40" s="27"/>
      <c r="L40" s="27">
        <f t="shared" si="0"/>
        <v>0</v>
      </c>
    </row>
    <row r="41" spans="1:12" ht="25.35" customHeight="1" x14ac:dyDescent="0.25">
      <c r="A41" s="137" t="s">
        <v>270</v>
      </c>
      <c r="B41" s="122" t="s">
        <v>271</v>
      </c>
      <c r="C41" s="195" t="s">
        <v>2</v>
      </c>
      <c r="D41" s="481"/>
      <c r="E41" s="418"/>
      <c r="F41" s="191"/>
      <c r="H41" s="520"/>
      <c r="I41" s="322" t="str">
        <f>IF(OR(E41&lt;0,E41&gt;E40),"Il valore deve essere maggiore o uguale a zero e minore o uguale a L_m-isp","")</f>
        <v/>
      </c>
      <c r="K41" s="27"/>
      <c r="L41" s="27">
        <f t="shared" si="0"/>
        <v>0</v>
      </c>
    </row>
    <row r="42" spans="1:12" s="31" customFormat="1" ht="32.1" customHeight="1" x14ac:dyDescent="0.25">
      <c r="A42" s="137" t="s">
        <v>272</v>
      </c>
      <c r="B42" s="105" t="s">
        <v>273</v>
      </c>
      <c r="C42" s="195" t="s">
        <v>2</v>
      </c>
      <c r="D42" s="481"/>
      <c r="E42" s="418"/>
      <c r="F42" s="191"/>
      <c r="G42"/>
      <c r="H42" s="520"/>
      <c r="I42" s="322" t="str">
        <f>IF(OR(E42&lt;0,E42&gt;E22),"Il valore deve essere maggiore o uguale a zero e minore o uguale a Lb","")</f>
        <v/>
      </c>
      <c r="J42"/>
      <c r="K42" s="27"/>
      <c r="L42" s="27">
        <f t="shared" si="0"/>
        <v>0</v>
      </c>
    </row>
    <row r="43" spans="1:12" ht="25.35" customHeight="1" x14ac:dyDescent="0.25">
      <c r="A43" s="137" t="s">
        <v>274</v>
      </c>
      <c r="B43" s="122" t="s">
        <v>271</v>
      </c>
      <c r="C43" s="195" t="s">
        <v>2</v>
      </c>
      <c r="D43" s="481"/>
      <c r="E43" s="418"/>
      <c r="F43" s="191"/>
      <c r="H43" s="520"/>
      <c r="I43" s="322" t="str">
        <f>IF(OR(E43&lt;0,E43&gt;E42),"Il valore deve essere maggiore o uguale a zero e minore o uguale a L_b-isp","")</f>
        <v/>
      </c>
      <c r="K43" s="27"/>
      <c r="L43" s="27">
        <f t="shared" si="0"/>
        <v>0</v>
      </c>
    </row>
    <row r="44" spans="1:12" s="31" customFormat="1" ht="32.1" customHeight="1" x14ac:dyDescent="0.25">
      <c r="A44" s="137" t="s">
        <v>275</v>
      </c>
      <c r="B44" s="105" t="s">
        <v>276</v>
      </c>
      <c r="C44" s="195" t="s">
        <v>2</v>
      </c>
      <c r="D44" s="481"/>
      <c r="E44" s="418"/>
      <c r="F44" s="191"/>
      <c r="G44"/>
      <c r="H44" s="520"/>
      <c r="I44" s="322" t="str">
        <f>IF(OR(E44&lt;0,E44&gt;E23),"Il valore deve essere maggiore o uguale a zero e minore o uguale a Ln","")</f>
        <v/>
      </c>
      <c r="J44"/>
      <c r="K44" s="27"/>
      <c r="L44" s="27">
        <f t="shared" si="0"/>
        <v>0</v>
      </c>
    </row>
    <row r="45" spans="1:12" ht="25.35" customHeight="1" x14ac:dyDescent="0.25">
      <c r="A45" s="137" t="s">
        <v>277</v>
      </c>
      <c r="B45" s="122" t="s">
        <v>271</v>
      </c>
      <c r="C45" s="195" t="s">
        <v>2</v>
      </c>
      <c r="D45" s="481"/>
      <c r="E45" s="418"/>
      <c r="F45" s="191"/>
      <c r="H45" s="520"/>
      <c r="I45" s="322" t="str">
        <f>IF(OR(E45&lt;0,E45&gt;E44),"Il valore deve essere maggiore o uguale a zero e minore o uguale a L_n-isp","")</f>
        <v/>
      </c>
      <c r="K45" s="27"/>
      <c r="L45" s="27">
        <f t="shared" si="0"/>
        <v>0</v>
      </c>
    </row>
    <row r="46" spans="1:12" s="31" customFormat="1" ht="32.1" customHeight="1" x14ac:dyDescent="0.25">
      <c r="A46" s="225" t="s">
        <v>278</v>
      </c>
      <c r="B46" s="123" t="s">
        <v>279</v>
      </c>
      <c r="C46" s="282" t="s">
        <v>2</v>
      </c>
      <c r="D46" s="482"/>
      <c r="E46" s="389">
        <f t="shared" ref="E46" si="8">E40+E42+E44</f>
        <v>0</v>
      </c>
      <c r="F46" s="214"/>
      <c r="G46"/>
      <c r="H46" s="525"/>
      <c r="I46" s="321"/>
      <c r="J46"/>
      <c r="K46" s="27"/>
      <c r="L46" s="27">
        <f t="shared" si="0"/>
        <v>0</v>
      </c>
    </row>
    <row r="47" spans="1:12" s="31" customFormat="1" ht="30" customHeight="1" x14ac:dyDescent="0.25">
      <c r="A47" s="146" t="s">
        <v>280</v>
      </c>
      <c r="B47" s="109" t="s">
        <v>281</v>
      </c>
      <c r="C47" s="267" t="s">
        <v>243</v>
      </c>
      <c r="D47" s="483"/>
      <c r="E47" s="344" t="str">
        <f>IF(AND(E46&gt;0,E39&gt;=0,E39&lt;&gt;""),(E39/E46)*100,"")</f>
        <v/>
      </c>
      <c r="F47" s="191" t="s">
        <v>282</v>
      </c>
      <c r="G47"/>
      <c r="H47" s="525"/>
      <c r="I47" s="321"/>
      <c r="J47"/>
      <c r="K47" s="27"/>
      <c r="L47" s="27">
        <f t="shared" ref="L47" si="9">IF(I47="",0,1)</f>
        <v>0</v>
      </c>
    </row>
    <row r="48" spans="1:12" s="31" customFormat="1" ht="30" customHeight="1" thickBot="1" x14ac:dyDescent="0.3">
      <c r="A48" s="147" t="s">
        <v>2563</v>
      </c>
      <c r="B48" s="150" t="s">
        <v>2561</v>
      </c>
      <c r="C48" s="289" t="s">
        <v>2562</v>
      </c>
      <c r="D48" s="484"/>
      <c r="E48" s="390">
        <f>IF(E29=0,0,E29/E10)</f>
        <v>0</v>
      </c>
      <c r="F48" s="340" t="s">
        <v>2560</v>
      </c>
      <c r="G48"/>
      <c r="H48" s="522"/>
      <c r="I48" s="371"/>
      <c r="J48"/>
      <c r="K48" s="27"/>
      <c r="L48" s="27">
        <f t="shared" si="0"/>
        <v>0</v>
      </c>
    </row>
    <row r="51" spans="2:2" x14ac:dyDescent="0.25">
      <c r="B51" s="56" t="s">
        <v>469</v>
      </c>
    </row>
    <row r="52" spans="2:2" x14ac:dyDescent="0.25">
      <c r="B52" s="57" t="s">
        <v>470</v>
      </c>
    </row>
    <row r="53" spans="2:2" x14ac:dyDescent="0.25">
      <c r="B53" s="56"/>
    </row>
    <row r="54" spans="2:2" x14ac:dyDescent="0.25">
      <c r="B54" s="57" t="s">
        <v>0</v>
      </c>
    </row>
    <row r="55" spans="2:2" x14ac:dyDescent="0.25">
      <c r="B55" s="58" t="s">
        <v>5</v>
      </c>
    </row>
    <row r="56" spans="2:2" x14ac:dyDescent="0.25">
      <c r="B56" s="59" t="s">
        <v>6</v>
      </c>
    </row>
    <row r="195" spans="2:2" x14ac:dyDescent="0.25">
      <c r="B195" s="82"/>
    </row>
  </sheetData>
  <sheetProtection algorithmName="SHA-512" hashValue="HJzkU/QNlQbx9NCoA7Nce1Hjzt7n4gc1XciqtaWHW+fj4nSqj3wRdyDpbra5QXMfwfJ4gRmfr1pIFfOh+FthwA==" saltValue="0sdpFskP2q+SrWu15DeN6g==" spinCount="100000" sheet="1" objects="1" scenarios="1"/>
  <phoneticPr fontId="88" type="noConversion"/>
  <conditionalFormatting sqref="L2">
    <cfRule type="cellIs" dxfId="23" priority="1" operator="lessThanOrEqual">
      <formula>0</formula>
    </cfRule>
    <cfRule type="cellIs" dxfId="22" priority="2" operator="greaterThan">
      <formula>0</formula>
    </cfRule>
  </conditionalFormatting>
  <dataValidations count="3">
    <dataValidation type="list" allowBlank="1" showInputMessage="1" showErrorMessage="1" sqref="E3" xr:uid="{32AE73F2-98C1-4738-B63D-50E0AD4115A1}">
      <formula1>$B$55:$B$56</formula1>
    </dataValidation>
    <dataValidation type="list" allowBlank="1" showInputMessage="1" showErrorMessage="1" sqref="E4:E6 E18" xr:uid="{72079429-CCB4-4B97-970C-20A36CCB2787}">
      <formula1>$B$53:$B$54</formula1>
    </dataValidation>
    <dataValidation type="list" allowBlank="1" showInputMessage="1" showErrorMessage="1" sqref="E17" xr:uid="{D66358D2-9C4D-4FA7-93F1-AC0616D1E6C3}">
      <formula1>$B$51:$B$52</formula1>
    </dataValidation>
  </dataValidations>
  <pageMargins left="0.23622047244094491" right="0.23622047244094491" top="0.43307086614173229" bottom="0.47244094488188981" header="0.31496062992125984" footer="0.31496062992125984"/>
  <pageSetup paperSize="8" scale="4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7A13F-7F26-484C-978B-F986D5C9F0E5}">
  <sheetPr>
    <tabColor theme="3" tint="0.79998168889431442"/>
    <pageSetUpPr fitToPage="1"/>
  </sheetPr>
  <dimension ref="A1:L233"/>
  <sheetViews>
    <sheetView showGridLines="0" zoomScale="80" zoomScaleNormal="80" workbookViewId="0">
      <pane xSplit="3" ySplit="2" topLeftCell="E3" activePane="bottomRight" state="frozen"/>
      <selection activeCell="B4" sqref="B4"/>
      <selection pane="topRight" activeCell="B4" sqref="B4"/>
      <selection pane="bottomLeft" activeCell="B4" sqref="B4"/>
      <selection pane="bottomRight"/>
    </sheetView>
  </sheetViews>
  <sheetFormatPr defaultColWidth="8.85546875" defaultRowHeight="15" x14ac:dyDescent="0.25"/>
  <cols>
    <col min="1" max="1" width="16.42578125" customWidth="1"/>
    <col min="2" max="2" width="50.85546875" customWidth="1"/>
    <col min="3" max="3" width="9.85546875" customWidth="1"/>
    <col min="4" max="4" width="14.85546875" hidden="1" customWidth="1"/>
    <col min="5" max="5" width="14.85546875" customWidth="1"/>
    <col min="6" max="6" width="50.85546875" customWidth="1"/>
    <col min="7" max="7" width="2.85546875" customWidth="1"/>
    <col min="8" max="8" width="25.85546875" hidden="1" customWidth="1"/>
    <col min="9" max="9" width="25.85546875" customWidth="1"/>
    <col min="10" max="10" width="2.85546875" customWidth="1"/>
    <col min="11" max="11" width="20.85546875" style="38" hidden="1" customWidth="1"/>
    <col min="12" max="12" width="20.85546875" style="38" customWidth="1"/>
    <col min="13" max="13" width="35.85546875" customWidth="1"/>
  </cols>
  <sheetData>
    <row r="1" spans="1:12" ht="69.95" customHeight="1" thickBot="1" x14ac:dyDescent="0.3">
      <c r="A1" s="16"/>
      <c r="B1" s="17" t="s">
        <v>2345</v>
      </c>
      <c r="C1" s="16"/>
      <c r="D1" s="18"/>
      <c r="E1" s="18"/>
      <c r="F1" s="19"/>
      <c r="G1" s="16"/>
      <c r="J1" s="16"/>
      <c r="K1" s="509"/>
      <c r="L1" s="210" t="s">
        <v>3089</v>
      </c>
    </row>
    <row r="2" spans="1:12" ht="70.349999999999994" customHeight="1" thickBot="1" x14ac:dyDescent="0.3">
      <c r="A2" s="20" t="s">
        <v>41</v>
      </c>
      <c r="B2" s="21" t="s">
        <v>42</v>
      </c>
      <c r="C2" s="186" t="s">
        <v>7</v>
      </c>
      <c r="D2" s="449"/>
      <c r="E2" s="379" t="s">
        <v>3087</v>
      </c>
      <c r="F2" s="187" t="s">
        <v>9</v>
      </c>
      <c r="G2" s="16"/>
      <c r="H2" s="516"/>
      <c r="I2" s="287" t="s">
        <v>3088</v>
      </c>
      <c r="J2" s="16"/>
      <c r="K2" s="510"/>
      <c r="L2" s="211">
        <f>SUM(L3:L144)</f>
        <v>0</v>
      </c>
    </row>
    <row r="3" spans="1:12" ht="30" customHeight="1" x14ac:dyDescent="0.25">
      <c r="A3" s="63" t="s">
        <v>29</v>
      </c>
      <c r="B3" s="40" t="s">
        <v>30</v>
      </c>
      <c r="C3" s="391" t="s">
        <v>1</v>
      </c>
      <c r="D3" s="450"/>
      <c r="E3" s="222"/>
      <c r="F3" s="196" t="s">
        <v>531</v>
      </c>
      <c r="G3" s="93"/>
      <c r="H3" s="517"/>
      <c r="I3" s="226"/>
      <c r="J3" s="93"/>
      <c r="K3" s="27"/>
      <c r="L3" s="27">
        <f t="shared" ref="L3:L32" si="0">IF(I3="",0,1)</f>
        <v>0</v>
      </c>
    </row>
    <row r="4" spans="1:12" ht="30" customHeight="1" x14ac:dyDescent="0.25">
      <c r="A4" s="168" t="s">
        <v>319</v>
      </c>
      <c r="B4" s="127" t="s">
        <v>320</v>
      </c>
      <c r="C4" s="298" t="s">
        <v>45</v>
      </c>
      <c r="D4" s="451"/>
      <c r="E4" s="341"/>
      <c r="F4" s="191"/>
      <c r="G4" s="93"/>
      <c r="H4" s="512"/>
      <c r="I4" s="322" t="str">
        <f>IF(E$3="SI",IF(E4&lt;=0,"Il valore deve essere maggiore di zero",""),IF(E4&lt;&gt;0,"Non risulta gestito il servizio di depurazione",""))</f>
        <v/>
      </c>
      <c r="J4" s="93"/>
      <c r="K4" s="27"/>
      <c r="L4" s="27">
        <f t="shared" si="0"/>
        <v>0</v>
      </c>
    </row>
    <row r="5" spans="1:12" ht="30" customHeight="1" x14ac:dyDescent="0.25">
      <c r="A5" s="168" t="s">
        <v>321</v>
      </c>
      <c r="B5" s="127" t="s">
        <v>322</v>
      </c>
      <c r="C5" s="298" t="s">
        <v>45</v>
      </c>
      <c r="D5" s="451"/>
      <c r="E5" s="341"/>
      <c r="F5" s="191"/>
      <c r="G5" s="93"/>
      <c r="H5" s="512"/>
      <c r="I5" s="322" t="str">
        <f>IF(E5&lt;0,"Il valore deve essere maggiore o uguale a zero","")</f>
        <v/>
      </c>
      <c r="J5" s="93"/>
      <c r="K5" s="27"/>
      <c r="L5" s="27">
        <f t="shared" si="0"/>
        <v>0</v>
      </c>
    </row>
    <row r="6" spans="1:12" ht="30" customHeight="1" x14ac:dyDescent="0.25">
      <c r="A6" s="165" t="s">
        <v>568</v>
      </c>
      <c r="B6" s="151" t="s">
        <v>571</v>
      </c>
      <c r="C6" s="298" t="s">
        <v>552</v>
      </c>
      <c r="D6" s="451"/>
      <c r="E6" s="341"/>
      <c r="F6" s="191"/>
      <c r="G6" s="93"/>
      <c r="H6" s="512"/>
      <c r="I6" s="322" t="str">
        <f>IF(E3="SI",IF(E6&lt;=0,"Il valore deve essere maggiore di zero",""),IF(E6&lt;&gt;0,"Non risulta gestito il servizio di depurazione",""))</f>
        <v/>
      </c>
      <c r="J6" s="93"/>
      <c r="K6" s="27"/>
      <c r="L6" s="27">
        <f t="shared" si="0"/>
        <v>0</v>
      </c>
    </row>
    <row r="7" spans="1:12" ht="30" customHeight="1" x14ac:dyDescent="0.25">
      <c r="A7" s="165" t="s">
        <v>569</v>
      </c>
      <c r="B7" s="151" t="s">
        <v>570</v>
      </c>
      <c r="C7" s="298" t="s">
        <v>2338</v>
      </c>
      <c r="D7" s="451"/>
      <c r="E7" s="341"/>
      <c r="F7" s="191"/>
      <c r="G7" s="93"/>
      <c r="H7" s="512"/>
      <c r="I7" s="322" t="str">
        <f>IF(E3="SI",IF(E7&lt;=0,"Il valore deve essere maggiore di zero",""),IF(E7&lt;&gt;0,"Non risulta gestito il servizio di depurazione",""))</f>
        <v/>
      </c>
      <c r="J7" s="93"/>
      <c r="K7" s="27"/>
      <c r="L7" s="27">
        <f t="shared" si="0"/>
        <v>0</v>
      </c>
    </row>
    <row r="8" spans="1:12" ht="45" customHeight="1" x14ac:dyDescent="0.25">
      <c r="A8" s="170" t="s">
        <v>439</v>
      </c>
      <c r="B8" s="110" t="s">
        <v>440</v>
      </c>
      <c r="C8" s="298" t="s">
        <v>3</v>
      </c>
      <c r="D8" s="451"/>
      <c r="E8" s="341"/>
      <c r="F8" s="191"/>
      <c r="G8" s="16"/>
      <c r="H8" s="512"/>
      <c r="I8" s="322" t="str">
        <f>IF(AND('QT-Depurazione'!E3="SI",E8&lt;=0),"Il valore deve essere maggiore di zero","")</f>
        <v/>
      </c>
      <c r="J8" s="16"/>
      <c r="K8" s="27"/>
      <c r="L8" s="27">
        <f t="shared" si="0"/>
        <v>0</v>
      </c>
    </row>
    <row r="9" spans="1:12" ht="25.35" customHeight="1" x14ac:dyDescent="0.25">
      <c r="A9" s="170" t="s">
        <v>441</v>
      </c>
      <c r="B9" s="122" t="s">
        <v>360</v>
      </c>
      <c r="C9" s="298" t="s">
        <v>3</v>
      </c>
      <c r="D9" s="451"/>
      <c r="E9" s="341"/>
      <c r="F9" s="191" t="s">
        <v>104</v>
      </c>
      <c r="G9" s="16"/>
      <c r="H9" s="988"/>
      <c r="I9" s="985" t="str">
        <f>IF(OR(E9&lt;&gt;"",E10&lt;&gt;""),IF(OR(E9&lt;0,E10&lt;0,E10+E9&lt;&gt;E8),"Ogni di cui deve essere maggiore o uguale a zero e la somma deve essere pari a Car_dep",""),"")</f>
        <v/>
      </c>
      <c r="J9" s="16"/>
      <c r="K9" s="27"/>
      <c r="L9" s="27">
        <f t="shared" si="0"/>
        <v>0</v>
      </c>
    </row>
    <row r="10" spans="1:12" ht="25.35" customHeight="1" x14ac:dyDescent="0.25">
      <c r="A10" s="170" t="s">
        <v>442</v>
      </c>
      <c r="B10" s="122" t="s">
        <v>443</v>
      </c>
      <c r="C10" s="298" t="s">
        <v>3</v>
      </c>
      <c r="D10" s="451"/>
      <c r="E10" s="341"/>
      <c r="F10" s="191" t="s">
        <v>104</v>
      </c>
      <c r="G10" s="16"/>
      <c r="H10" s="988"/>
      <c r="I10" s="985"/>
      <c r="J10" s="16"/>
      <c r="K10" s="27"/>
      <c r="L10" s="27">
        <f t="shared" si="0"/>
        <v>0</v>
      </c>
    </row>
    <row r="11" spans="1:12" ht="32.1" customHeight="1" x14ac:dyDescent="0.25">
      <c r="A11" s="145" t="s">
        <v>457</v>
      </c>
      <c r="B11" s="110" t="s">
        <v>458</v>
      </c>
      <c r="C11" s="298" t="s">
        <v>216</v>
      </c>
      <c r="D11" s="451"/>
      <c r="E11" s="341"/>
      <c r="F11" s="214" t="s">
        <v>529</v>
      </c>
      <c r="G11" s="16"/>
      <c r="H11" s="512"/>
      <c r="I11" s="322" t="str">
        <f>IF(E11&lt;0,"Il valore deve essere maggiore o uguale a zero","")</f>
        <v/>
      </c>
      <c r="J11" s="16"/>
      <c r="K11" s="27"/>
      <c r="L11" s="27">
        <f t="shared" si="0"/>
        <v>0</v>
      </c>
    </row>
    <row r="12" spans="1:12" ht="25.35" customHeight="1" thickBot="1" x14ac:dyDescent="0.3">
      <c r="A12" s="175" t="s">
        <v>477</v>
      </c>
      <c r="B12" s="176" t="s">
        <v>476</v>
      </c>
      <c r="C12" s="392" t="s">
        <v>216</v>
      </c>
      <c r="D12" s="452"/>
      <c r="E12" s="393"/>
      <c r="F12" s="340" t="s">
        <v>2347</v>
      </c>
      <c r="G12" s="16"/>
      <c r="H12" s="515"/>
      <c r="I12" s="325" t="str">
        <f>IF(OR(E12&lt;0,E12&gt;E11),"Il valore deve essere maggiore o uguale a zero e minore di EE_DEP","")</f>
        <v/>
      </c>
      <c r="J12" s="16"/>
      <c r="K12" s="27"/>
      <c r="L12" s="27">
        <f t="shared" si="0"/>
        <v>0</v>
      </c>
    </row>
    <row r="13" spans="1:12" ht="10.5" customHeight="1" x14ac:dyDescent="0.25">
      <c r="A13" s="64"/>
      <c r="B13" s="65"/>
      <c r="C13" s="66"/>
      <c r="D13" s="67"/>
      <c r="E13" s="67"/>
      <c r="F13" s="68"/>
      <c r="G13" s="68"/>
      <c r="H13" s="67"/>
      <c r="I13" s="67"/>
      <c r="J13" s="68"/>
      <c r="K13" s="27"/>
      <c r="L13" s="27">
        <f t="shared" si="0"/>
        <v>0</v>
      </c>
    </row>
    <row r="14" spans="1:12" ht="18" thickBot="1" x14ac:dyDescent="0.3">
      <c r="A14" s="878" t="s">
        <v>3150</v>
      </c>
      <c r="B14" s="65"/>
      <c r="C14" s="66"/>
      <c r="D14" s="67"/>
      <c r="E14" s="67"/>
      <c r="F14" s="68"/>
      <c r="G14" s="68"/>
      <c r="H14" s="67"/>
      <c r="I14" s="67"/>
      <c r="J14" s="68"/>
      <c r="K14" s="27"/>
      <c r="L14" s="27">
        <f t="shared" si="0"/>
        <v>0</v>
      </c>
    </row>
    <row r="15" spans="1:12" ht="45" x14ac:dyDescent="0.25">
      <c r="A15" s="70" t="s">
        <v>473</v>
      </c>
      <c r="B15" s="71" t="s">
        <v>2447</v>
      </c>
      <c r="C15" s="263" t="s">
        <v>8</v>
      </c>
      <c r="D15" s="466"/>
      <c r="E15" s="383"/>
      <c r="F15" s="235" t="s">
        <v>2597</v>
      </c>
      <c r="G15" s="95"/>
      <c r="H15" s="511"/>
      <c r="I15" s="206" t="str">
        <f>IF(E3="SI",IF(OR(E15&lt;0,E15="",E15&gt;E36),"Il valore deve essere maggiore o uguale a zero e minore o oguale ad Agg_tot",""),IF(E15&lt;&gt;0,"Non risulta gestito il servizio di depurazione",""))</f>
        <v/>
      </c>
      <c r="J15" s="95"/>
      <c r="K15" s="27"/>
      <c r="L15" s="27">
        <f t="shared" si="0"/>
        <v>0</v>
      </c>
    </row>
    <row r="16" spans="1:12" ht="45" customHeight="1" x14ac:dyDescent="0.25">
      <c r="A16" s="224" t="s">
        <v>474</v>
      </c>
      <c r="B16" s="119" t="s">
        <v>2448</v>
      </c>
      <c r="C16" s="260" t="s">
        <v>3</v>
      </c>
      <c r="D16" s="465"/>
      <c r="E16" s="384"/>
      <c r="F16" s="236" t="s">
        <v>2597</v>
      </c>
      <c r="G16" s="95"/>
      <c r="H16" s="512"/>
      <c r="I16" s="322" t="str">
        <f>IF(E3="SI",IF(OR(E16&lt;0,E16=""),"Il valore deve essere maggiore o uguale a zero",""),IF(E16&lt;&gt;0,"Non risulta gestito il servizio di depurazione",""))</f>
        <v/>
      </c>
      <c r="J16" s="95"/>
      <c r="K16" s="27"/>
      <c r="L16" s="27">
        <f t="shared" si="0"/>
        <v>0</v>
      </c>
    </row>
    <row r="17" spans="1:12" ht="45" customHeight="1" x14ac:dyDescent="0.25">
      <c r="A17" s="84" t="s">
        <v>524</v>
      </c>
      <c r="B17" s="85" t="s">
        <v>521</v>
      </c>
      <c r="C17" s="265" t="s">
        <v>1</v>
      </c>
      <c r="D17" s="467"/>
      <c r="E17" s="385" t="str">
        <f>IF(E3="SI",IF(OR(E15&gt;0,E16&gt;0,AND(E15="",E16="")),"NO","SI"),"")</f>
        <v/>
      </c>
      <c r="F17" s="191" t="s">
        <v>3032</v>
      </c>
      <c r="G17" s="95"/>
      <c r="H17" s="512"/>
      <c r="I17" s="322" t="str">
        <f>IF(AND(E3="SI",E17="NO"),"Attenzione, prerequisito mancante","")</f>
        <v/>
      </c>
      <c r="J17" s="95"/>
      <c r="K17" s="27"/>
      <c r="L17" s="27">
        <f t="shared" si="0"/>
        <v>0</v>
      </c>
    </row>
    <row r="18" spans="1:12" ht="43.5" customHeight="1" x14ac:dyDescent="0.25">
      <c r="A18" s="84" t="s">
        <v>522</v>
      </c>
      <c r="B18" s="51" t="s">
        <v>523</v>
      </c>
      <c r="C18" s="266" t="s">
        <v>1</v>
      </c>
      <c r="D18" s="468"/>
      <c r="E18" s="533"/>
      <c r="F18" s="191" t="s">
        <v>2570</v>
      </c>
      <c r="G18" s="95"/>
      <c r="H18" s="512"/>
      <c r="I18" s="322" t="str">
        <f>IF(AND(E3="SI",OR(E18="Non adeguato",E18="")),"Attenzione, prerequisito mancante","")</f>
        <v/>
      </c>
      <c r="J18" s="95"/>
      <c r="K18" s="27"/>
      <c r="L18" s="27">
        <f t="shared" si="0"/>
        <v>0</v>
      </c>
    </row>
    <row r="19" spans="1:12" ht="45" customHeight="1" thickBot="1" x14ac:dyDescent="0.3">
      <c r="A19" s="87" t="s">
        <v>324</v>
      </c>
      <c r="B19" s="88" t="s">
        <v>325</v>
      </c>
      <c r="C19" s="333" t="s">
        <v>1</v>
      </c>
      <c r="D19" s="453"/>
      <c r="E19" s="338"/>
      <c r="F19" s="340" t="s">
        <v>3029</v>
      </c>
      <c r="G19" s="16"/>
      <c r="H19" s="514"/>
      <c r="I19" s="400"/>
      <c r="J19" s="16"/>
      <c r="K19" s="27"/>
      <c r="L19" s="27">
        <f t="shared" si="0"/>
        <v>0</v>
      </c>
    </row>
    <row r="20" spans="1:12" ht="10.5" customHeight="1" x14ac:dyDescent="0.25">
      <c r="A20" s="32"/>
      <c r="B20" s="65"/>
      <c r="C20" s="66"/>
      <c r="D20" s="67"/>
      <c r="E20" s="67"/>
      <c r="F20" s="68"/>
      <c r="G20" s="68"/>
      <c r="H20" s="94"/>
      <c r="I20" s="94"/>
      <c r="J20" s="68"/>
      <c r="K20" s="27"/>
      <c r="L20" s="27">
        <f t="shared" si="0"/>
        <v>0</v>
      </c>
    </row>
    <row r="21" spans="1:12" ht="18" thickBot="1" x14ac:dyDescent="0.3">
      <c r="A21" s="32" t="s">
        <v>323</v>
      </c>
      <c r="B21" s="65"/>
      <c r="C21" s="66"/>
      <c r="D21" s="67"/>
      <c r="E21" s="67"/>
      <c r="F21" s="68"/>
      <c r="G21" s="68"/>
      <c r="H21" s="94"/>
      <c r="I21" s="94"/>
      <c r="J21" s="68"/>
      <c r="K21" s="27"/>
      <c r="L21" s="27">
        <f t="shared" si="0"/>
        <v>0</v>
      </c>
    </row>
    <row r="22" spans="1:12" s="31" customFormat="1" ht="70.5" customHeight="1" x14ac:dyDescent="0.25">
      <c r="A22" s="96" t="s">
        <v>326</v>
      </c>
      <c r="B22" s="290" t="s">
        <v>2564</v>
      </c>
      <c r="C22" s="297" t="s">
        <v>327</v>
      </c>
      <c r="D22" s="454"/>
      <c r="E22" s="229"/>
      <c r="F22" s="190" t="s">
        <v>2437</v>
      </c>
      <c r="G22" s="16"/>
      <c r="H22" s="511"/>
      <c r="I22" s="206" t="str">
        <f>IF(E3="SI",IF(OR(E22&lt;=0,E22=""),"Il valore deve essere maggiore di zero",""),IF(E22&lt;&gt;0,"Non risulta gestito il servizio di depurazione",""))</f>
        <v/>
      </c>
      <c r="J22" s="16"/>
      <c r="K22" s="27"/>
      <c r="L22" s="27">
        <f t="shared" si="0"/>
        <v>0</v>
      </c>
    </row>
    <row r="23" spans="1:12" ht="45" customHeight="1" x14ac:dyDescent="0.25">
      <c r="A23" s="168" t="s">
        <v>328</v>
      </c>
      <c r="B23" s="112" t="s">
        <v>329</v>
      </c>
      <c r="C23" s="298" t="s">
        <v>327</v>
      </c>
      <c r="D23" s="455"/>
      <c r="E23" s="531"/>
      <c r="F23" s="191" t="s">
        <v>638</v>
      </c>
      <c r="G23" s="16"/>
      <c r="H23" s="988"/>
      <c r="I23" s="985" t="str">
        <f>IF(OR(E23&lt;&gt;"",E24&lt;&gt;""),IF(OR(E23&lt;0,E24&lt;0,E24+E23&lt;&gt;E22),"Ogni di cui deve essere maggiore o uguale a zero e la somma deve essere pari a ∑SS_out,imp",""),"")</f>
        <v/>
      </c>
      <c r="J23" s="16"/>
      <c r="K23" s="27"/>
      <c r="L23" s="27">
        <f t="shared" si="0"/>
        <v>0</v>
      </c>
    </row>
    <row r="24" spans="1:12" s="31" customFormat="1" ht="32.1" customHeight="1" x14ac:dyDescent="0.25">
      <c r="A24" s="168" t="s">
        <v>330</v>
      </c>
      <c r="B24" s="112" t="s">
        <v>331</v>
      </c>
      <c r="C24" s="298" t="s">
        <v>327</v>
      </c>
      <c r="D24" s="455"/>
      <c r="E24" s="531"/>
      <c r="F24" s="191"/>
      <c r="G24" s="16"/>
      <c r="H24" s="988"/>
      <c r="I24" s="985"/>
      <c r="J24" s="16"/>
      <c r="K24" s="27"/>
      <c r="L24" s="27">
        <f t="shared" si="0"/>
        <v>0</v>
      </c>
    </row>
    <row r="25" spans="1:12" s="31" customFormat="1" ht="25.35" customHeight="1" x14ac:dyDescent="0.25">
      <c r="A25" s="168" t="s">
        <v>332</v>
      </c>
      <c r="B25" s="128" t="s">
        <v>333</v>
      </c>
      <c r="C25" s="298" t="s">
        <v>327</v>
      </c>
      <c r="D25" s="455"/>
      <c r="E25" s="531"/>
      <c r="F25" s="603"/>
      <c r="G25" s="16"/>
      <c r="H25" s="988"/>
      <c r="I25" s="985" t="str">
        <f>IF(OR(E25&lt;&gt;"",E26&lt;&gt;"",E27&lt;&gt;"",E28&lt;&gt;"",E29&lt;&gt;""),IF(OR(E25&lt;0,E26&lt;0,E27&lt;0,E28&lt;0,E29&lt;0,E29+E27+E28+E26+E25&lt;&gt;E24),"Ogni di cui deve essere maggiore o uguale a zero e la somma deve essere pari a ∑SSrec,imp",""),"")</f>
        <v/>
      </c>
      <c r="J25" s="16"/>
      <c r="K25" s="27"/>
      <c r="L25" s="27">
        <f t="shared" si="0"/>
        <v>0</v>
      </c>
    </row>
    <row r="26" spans="1:12" s="31" customFormat="1" ht="25.35" customHeight="1" x14ac:dyDescent="0.25">
      <c r="A26" s="168" t="s">
        <v>334</v>
      </c>
      <c r="B26" s="128" t="s">
        <v>335</v>
      </c>
      <c r="C26" s="298" t="s">
        <v>327</v>
      </c>
      <c r="D26" s="455"/>
      <c r="E26" s="531"/>
      <c r="F26" s="603"/>
      <c r="G26" s="16"/>
      <c r="H26" s="988"/>
      <c r="I26" s="985"/>
      <c r="J26" s="16"/>
      <c r="K26" s="27"/>
      <c r="L26" s="27">
        <f t="shared" si="0"/>
        <v>0</v>
      </c>
    </row>
    <row r="27" spans="1:12" s="31" customFormat="1" ht="25.35" customHeight="1" x14ac:dyDescent="0.25">
      <c r="A27" s="168" t="s">
        <v>336</v>
      </c>
      <c r="B27" s="128" t="s">
        <v>337</v>
      </c>
      <c r="C27" s="298" t="s">
        <v>327</v>
      </c>
      <c r="D27" s="455"/>
      <c r="E27" s="531"/>
      <c r="F27" s="603"/>
      <c r="G27" s="16"/>
      <c r="H27" s="988"/>
      <c r="I27" s="985"/>
      <c r="J27" s="16"/>
      <c r="K27" s="27"/>
      <c r="L27" s="27">
        <f t="shared" si="0"/>
        <v>0</v>
      </c>
    </row>
    <row r="28" spans="1:12" s="31" customFormat="1" ht="28.5" customHeight="1" x14ac:dyDescent="0.25">
      <c r="A28" s="242" t="s">
        <v>2375</v>
      </c>
      <c r="B28" s="128" t="s">
        <v>3102</v>
      </c>
      <c r="C28" s="298" t="s">
        <v>327</v>
      </c>
      <c r="D28" s="455"/>
      <c r="E28" s="531"/>
      <c r="F28" s="231" t="s">
        <v>580</v>
      </c>
      <c r="G28" s="16"/>
      <c r="H28" s="988"/>
      <c r="I28" s="985"/>
      <c r="J28" s="16"/>
      <c r="K28" s="27"/>
      <c r="L28" s="27">
        <f t="shared" si="0"/>
        <v>0</v>
      </c>
    </row>
    <row r="29" spans="1:12" s="31" customFormat="1" ht="30" customHeight="1" x14ac:dyDescent="0.25">
      <c r="A29" s="168" t="s">
        <v>338</v>
      </c>
      <c r="B29" s="128" t="s">
        <v>339</v>
      </c>
      <c r="C29" s="298" t="s">
        <v>327</v>
      </c>
      <c r="D29" s="455"/>
      <c r="E29" s="531"/>
      <c r="F29" s="231" t="s">
        <v>2339</v>
      </c>
      <c r="G29" s="16"/>
      <c r="H29" s="988"/>
      <c r="I29" s="985"/>
      <c r="J29" s="16"/>
      <c r="K29" s="27"/>
      <c r="L29" s="27">
        <f t="shared" si="0"/>
        <v>0</v>
      </c>
    </row>
    <row r="30" spans="1:12" s="31" customFormat="1" ht="32.1" customHeight="1" x14ac:dyDescent="0.25">
      <c r="A30" s="168" t="s">
        <v>340</v>
      </c>
      <c r="B30" s="110" t="s">
        <v>341</v>
      </c>
      <c r="C30" s="298" t="s">
        <v>342</v>
      </c>
      <c r="D30" s="455"/>
      <c r="E30" s="381"/>
      <c r="F30" s="191"/>
      <c r="G30" s="16"/>
      <c r="H30" s="512"/>
      <c r="I30" s="322" t="str">
        <f>IF(E3="SI",IF(OR(E30="",E30&lt;=0,E30&lt;E22),"Il valore deve essere maggiore di ∑SS_out,imp",""),IF(E30&lt;&gt;0,"Non risulta gestito il servizio di depurazione",""))</f>
        <v/>
      </c>
      <c r="J30" s="16"/>
      <c r="K30" s="27"/>
      <c r="L30" s="27">
        <f t="shared" si="0"/>
        <v>0</v>
      </c>
    </row>
    <row r="31" spans="1:12" ht="45" customHeight="1" x14ac:dyDescent="0.25">
      <c r="A31" s="168" t="s">
        <v>343</v>
      </c>
      <c r="B31" s="110" t="s">
        <v>344</v>
      </c>
      <c r="C31" s="298" t="s">
        <v>342</v>
      </c>
      <c r="D31" s="455"/>
      <c r="E31" s="531"/>
      <c r="F31" s="191" t="s">
        <v>638</v>
      </c>
      <c r="G31" s="16"/>
      <c r="H31" s="512"/>
      <c r="I31" s="322" t="str">
        <f>IF(AND(E23&gt;0,E31=0),"∑MFtq,disc,imp non può essere zero",IF(OR(E31&lt;0,E31&gt;E30),"Il valore deve essere maggiore o uguale a zero e minore o uguale di ∑MFtq,out,imp",""))</f>
        <v/>
      </c>
      <c r="J31" s="16"/>
      <c r="K31" s="27"/>
      <c r="L31" s="27">
        <f t="shared" si="0"/>
        <v>0</v>
      </c>
    </row>
    <row r="32" spans="1:12" s="31" customFormat="1" ht="35.25" customHeight="1" x14ac:dyDescent="0.25">
      <c r="A32" s="230" t="s">
        <v>345</v>
      </c>
      <c r="B32" s="129" t="s">
        <v>346</v>
      </c>
      <c r="C32" s="299" t="s">
        <v>4</v>
      </c>
      <c r="D32" s="456"/>
      <c r="E32" s="388" t="str">
        <f>IF(AND(E22&gt;0,E30&gt;0,E22&lt;=E30),E22/E30,"")</f>
        <v/>
      </c>
      <c r="F32" s="214"/>
      <c r="G32" s="16"/>
      <c r="H32" s="512"/>
      <c r="I32" s="322" t="str">
        <f>IF(AND(E3="SI",E32=""),"Indicatore non calcolabile","")</f>
        <v/>
      </c>
      <c r="J32" s="16"/>
      <c r="K32" s="27"/>
      <c r="L32" s="27">
        <f t="shared" si="0"/>
        <v>0</v>
      </c>
    </row>
    <row r="33" spans="1:12" ht="30" customHeight="1" x14ac:dyDescent="0.25">
      <c r="A33" s="146" t="s">
        <v>347</v>
      </c>
      <c r="B33" s="130" t="s">
        <v>348</v>
      </c>
      <c r="C33" s="300" t="s">
        <v>4</v>
      </c>
      <c r="D33" s="457"/>
      <c r="E33" s="395" t="str">
        <f>IF(AND(E22&gt;0,E23&gt;=0,E23&lt;&gt;"",E23&lt;=E22),E23/E22,"")</f>
        <v/>
      </c>
      <c r="F33" s="191" t="s">
        <v>349</v>
      </c>
      <c r="G33" s="16"/>
      <c r="H33" s="512"/>
      <c r="I33" s="322" t="str">
        <f>IF(AND(E3="SI",E33=""),"Macro-indicatore non calcolabile","")</f>
        <v/>
      </c>
      <c r="J33" s="16"/>
      <c r="K33" s="27"/>
      <c r="L33" s="27">
        <f t="shared" ref="L33:L85" si="1">IF(I33="",0,1)</f>
        <v>0</v>
      </c>
    </row>
    <row r="34" spans="1:12" ht="30" customHeight="1" x14ac:dyDescent="0.25">
      <c r="A34" s="568" t="s">
        <v>350</v>
      </c>
      <c r="B34" s="291" t="s">
        <v>351</v>
      </c>
      <c r="C34" s="299" t="s">
        <v>1</v>
      </c>
      <c r="D34" s="458"/>
      <c r="E34" s="309" t="str">
        <f>IF(E33="","",IF(E33&gt;0.3,"E",IF(AND(E33&gt;0.2,E33&lt;=0.3),"D",IF(AND(E33&gt;0.1,E33&lt;=0.2),"C",IF(AND(E33&gt;0.03,E33&lt;=0.1),"B","A")))))</f>
        <v/>
      </c>
      <c r="F34" s="191" t="s">
        <v>2571</v>
      </c>
      <c r="G34" s="16"/>
      <c r="H34" s="513"/>
      <c r="I34" s="323"/>
      <c r="J34" s="16"/>
      <c r="K34" s="27"/>
      <c r="L34" s="27">
        <f t="shared" si="1"/>
        <v>0</v>
      </c>
    </row>
    <row r="35" spans="1:12" ht="30" customHeight="1" x14ac:dyDescent="0.25">
      <c r="A35" s="568" t="s">
        <v>352</v>
      </c>
      <c r="B35" s="291" t="s">
        <v>353</v>
      </c>
      <c r="C35" s="299" t="s">
        <v>1</v>
      </c>
      <c r="D35" s="458"/>
      <c r="E35" s="309" t="str">
        <f>IF(E34="A","Mantenimento",IF(E34="B","-1% di MF tq,disc",IF(E34="C","-2% di MF tq,disc",IF(E34="D","-3% di MF tq,disc",IF(E34="E","-5% di MF tq,disc","")))))</f>
        <v/>
      </c>
      <c r="F35" s="191" t="s">
        <v>2571</v>
      </c>
      <c r="G35" s="16"/>
      <c r="H35" s="513"/>
      <c r="I35" s="323"/>
      <c r="J35" s="16"/>
      <c r="K35" s="27"/>
      <c r="L35" s="27">
        <f t="shared" si="1"/>
        <v>0</v>
      </c>
    </row>
    <row r="36" spans="1:12" ht="30" customHeight="1" x14ac:dyDescent="0.25">
      <c r="A36" s="224" t="s">
        <v>605</v>
      </c>
      <c r="B36" s="119" t="s">
        <v>354</v>
      </c>
      <c r="C36" s="260" t="s">
        <v>8</v>
      </c>
      <c r="D36" s="455"/>
      <c r="E36" s="381"/>
      <c r="F36" s="191"/>
      <c r="G36" s="16"/>
      <c r="H36" s="512"/>
      <c r="I36" s="322" t="str">
        <f>IF(E36&lt;0,"Il valore deve essere maggiore o uguale a zero","")</f>
        <v/>
      </c>
      <c r="J36" s="16"/>
      <c r="K36" s="27"/>
      <c r="L36" s="27">
        <f t="shared" si="1"/>
        <v>0</v>
      </c>
    </row>
    <row r="37" spans="1:12" ht="30" customHeight="1" x14ac:dyDescent="0.25">
      <c r="A37" s="224" t="s">
        <v>2376</v>
      </c>
      <c r="B37" s="245" t="s">
        <v>601</v>
      </c>
      <c r="C37" s="260" t="s">
        <v>8</v>
      </c>
      <c r="D37" s="455"/>
      <c r="E37" s="381"/>
      <c r="F37" s="223"/>
      <c r="G37" s="95"/>
      <c r="H37" s="512"/>
      <c r="I37" s="322" t="str">
        <f>IF(OR(E37&lt;0,E37&gt;E36),"Il valore deve essere maggiore o uguale a zero e minore di Agg_tot","")</f>
        <v/>
      </c>
      <c r="J37" s="95"/>
      <c r="K37" s="27"/>
      <c r="L37" s="27">
        <f t="shared" si="1"/>
        <v>0</v>
      </c>
    </row>
    <row r="38" spans="1:12" ht="53.25" customHeight="1" x14ac:dyDescent="0.25">
      <c r="A38" s="242" t="s">
        <v>2565</v>
      </c>
      <c r="B38" s="134" t="s">
        <v>2566</v>
      </c>
      <c r="C38" s="298" t="s">
        <v>8</v>
      </c>
      <c r="D38" s="455"/>
      <c r="E38" s="381"/>
      <c r="F38" s="191" t="s">
        <v>2573</v>
      </c>
      <c r="G38" s="16"/>
      <c r="H38" s="512"/>
      <c r="I38" s="322" t="str">
        <f>IF(E3="SI",IF(OR(E38&lt;0,E38&gt;E36,E38=""),"Il valore deve essere maggiore o uguale a zero e minore o uguale a Agg_tot",""),IF(E38&lt;&gt;0,"Non risulta gestito il servizio di depurazione",""))</f>
        <v/>
      </c>
      <c r="J38" s="16"/>
      <c r="K38" s="27"/>
      <c r="L38" s="27">
        <f t="shared" si="1"/>
        <v>0</v>
      </c>
    </row>
    <row r="39" spans="1:12" ht="53.25" customHeight="1" x14ac:dyDescent="0.25">
      <c r="A39" s="242" t="s">
        <v>2567</v>
      </c>
      <c r="B39" s="134" t="s">
        <v>2568</v>
      </c>
      <c r="C39" s="298" t="s">
        <v>3</v>
      </c>
      <c r="D39" s="455"/>
      <c r="E39" s="381"/>
      <c r="F39" s="191" t="s">
        <v>2573</v>
      </c>
      <c r="G39" s="16"/>
      <c r="H39" s="512"/>
      <c r="I39" s="322" t="str">
        <f>IF(AND(E38&gt;0,OR(E39="",E39&lt;=0)),"Il valore deve essere maggiore di zero",IF(AND(E39&lt;&gt;0,OR(E38=0,E38="")),"Valore non congruente con Agg_infr",""))</f>
        <v/>
      </c>
      <c r="J39" s="16"/>
      <c r="K39" s="27"/>
      <c r="L39" s="27">
        <f t="shared" si="1"/>
        <v>0</v>
      </c>
    </row>
    <row r="40" spans="1:12" ht="45" x14ac:dyDescent="0.25">
      <c r="A40" s="142" t="s">
        <v>356</v>
      </c>
      <c r="B40" s="291" t="s">
        <v>2569</v>
      </c>
      <c r="C40" s="299" t="s">
        <v>3</v>
      </c>
      <c r="D40" s="459"/>
      <c r="E40" s="350" t="str">
        <f>IF(OR(AND(E38&gt;0,E39&gt;0),AND(E39&gt;0,E38=0)),E39,IF(AND(E38=0,E38&lt;&gt;"",E39=0),E39,IF(AND(E39=0,E39&lt;&gt;"",E38=0),E39,"")))</f>
        <v/>
      </c>
      <c r="F40" s="191" t="s">
        <v>2514</v>
      </c>
      <c r="G40" s="16"/>
      <c r="H40" s="513"/>
      <c r="I40" s="323"/>
      <c r="J40" s="16"/>
      <c r="K40" s="27"/>
      <c r="L40" s="27">
        <f t="shared" si="1"/>
        <v>0</v>
      </c>
    </row>
    <row r="41" spans="1:12" ht="35.25" customHeight="1" x14ac:dyDescent="0.25">
      <c r="A41" s="145" t="s">
        <v>357</v>
      </c>
      <c r="B41" s="110" t="s">
        <v>358</v>
      </c>
      <c r="C41" s="298" t="s">
        <v>8</v>
      </c>
      <c r="D41" s="455"/>
      <c r="E41" s="381"/>
      <c r="F41" s="191"/>
      <c r="G41" s="16"/>
      <c r="H41" s="512"/>
      <c r="I41" s="322" t="str">
        <f>IF(E3="SI",IF(OR(E41&lt;=0,E41=""),"Il valore deve essere maggiore di zero",""),IF(E41&lt;&gt;0,"Non risulta gestito il servizio di depurazione",""))</f>
        <v/>
      </c>
      <c r="J41" s="16"/>
      <c r="K41" s="27"/>
      <c r="L41" s="27">
        <f t="shared" si="1"/>
        <v>0</v>
      </c>
    </row>
    <row r="42" spans="1:12" ht="25.35" customHeight="1" x14ac:dyDescent="0.25">
      <c r="A42" s="145" t="s">
        <v>359</v>
      </c>
      <c r="B42" s="122" t="s">
        <v>360</v>
      </c>
      <c r="C42" s="301" t="s">
        <v>8</v>
      </c>
      <c r="D42" s="455"/>
      <c r="E42" s="381"/>
      <c r="F42" s="191" t="s">
        <v>104</v>
      </c>
      <c r="G42" s="16"/>
      <c r="H42" s="988"/>
      <c r="I42" s="985" t="str">
        <f>IF(OR(E42&lt;&gt;"",E43&lt;&gt;""),IF(OR(E42&lt;0,E43&lt;0,E43+E42&lt;&gt;E41),"Ogni di cui deve essere maggiore o uguale a zero e la somma deve essere pari a UtT_DEP",""),"")</f>
        <v/>
      </c>
      <c r="J42" s="16"/>
      <c r="K42" s="27"/>
      <c r="L42" s="27">
        <f t="shared" si="1"/>
        <v>0</v>
      </c>
    </row>
    <row r="43" spans="1:12" ht="25.35" customHeight="1" x14ac:dyDescent="0.25">
      <c r="A43" s="145" t="s">
        <v>361</v>
      </c>
      <c r="B43" s="122" t="s">
        <v>311</v>
      </c>
      <c r="C43" s="301" t="s">
        <v>8</v>
      </c>
      <c r="D43" s="455"/>
      <c r="E43" s="381"/>
      <c r="F43" s="191" t="s">
        <v>104</v>
      </c>
      <c r="G43" s="16"/>
      <c r="H43" s="988"/>
      <c r="I43" s="985"/>
      <c r="J43" s="16"/>
      <c r="K43" s="27"/>
      <c r="L43" s="27">
        <f t="shared" si="1"/>
        <v>0</v>
      </c>
    </row>
    <row r="44" spans="1:12" ht="35.25" customHeight="1" x14ac:dyDescent="0.25">
      <c r="A44" s="145" t="s">
        <v>362</v>
      </c>
      <c r="B44" s="25" t="s">
        <v>363</v>
      </c>
      <c r="C44" s="301" t="s">
        <v>8</v>
      </c>
      <c r="D44" s="455"/>
      <c r="E44" s="381"/>
      <c r="F44" s="191"/>
      <c r="G44" s="16"/>
      <c r="H44" s="512"/>
      <c r="I44" s="322" t="str">
        <f>IF(AND(E3="SI",OR(E44&lt;0,E44&gt;E41,E44="")),"Il valore deve essere maggiore o uguale a zero e minore o uguale a UtT_DEP","")</f>
        <v/>
      </c>
      <c r="J44" s="16"/>
      <c r="K44" s="27"/>
      <c r="L44" s="27">
        <f t="shared" si="1"/>
        <v>0</v>
      </c>
    </row>
    <row r="45" spans="1:12" ht="45" x14ac:dyDescent="0.25">
      <c r="A45" s="145" t="s">
        <v>364</v>
      </c>
      <c r="B45" s="105" t="s">
        <v>365</v>
      </c>
      <c r="C45" s="301" t="s">
        <v>8</v>
      </c>
      <c r="D45" s="455"/>
      <c r="E45" s="381"/>
      <c r="F45" s="191"/>
      <c r="G45" s="16"/>
      <c r="H45" s="512"/>
      <c r="I45" s="322" t="str">
        <f>IF(E45&lt;E44,"Il valore deve essere maggiore o uguale di UtT_cond,DEP","")</f>
        <v/>
      </c>
      <c r="J45" s="16"/>
      <c r="K45" s="27"/>
      <c r="L45" s="27">
        <f t="shared" si="1"/>
        <v>0</v>
      </c>
    </row>
    <row r="46" spans="1:12" s="31" customFormat="1" ht="35.25" customHeight="1" x14ac:dyDescent="0.25">
      <c r="A46" s="230" t="s">
        <v>366</v>
      </c>
      <c r="B46" s="129" t="s">
        <v>367</v>
      </c>
      <c r="C46" s="299" t="s">
        <v>8</v>
      </c>
      <c r="D46" s="459"/>
      <c r="E46" s="350">
        <f>IF((E41-E44+E45)&lt;0,"",E41-E44+E45)</f>
        <v>0</v>
      </c>
      <c r="F46" s="214"/>
      <c r="G46" s="16"/>
      <c r="H46" s="513"/>
      <c r="I46" s="323"/>
      <c r="J46" s="16"/>
      <c r="K46" s="27"/>
      <c r="L46" s="27">
        <f t="shared" si="1"/>
        <v>0</v>
      </c>
    </row>
    <row r="47" spans="1:12" ht="45" customHeight="1" x14ac:dyDescent="0.25">
      <c r="A47" s="168" t="s">
        <v>368</v>
      </c>
      <c r="B47" s="131" t="s">
        <v>369</v>
      </c>
      <c r="C47" s="265" t="s">
        <v>1</v>
      </c>
      <c r="D47" s="460"/>
      <c r="E47" s="380"/>
      <c r="F47" s="191" t="s">
        <v>370</v>
      </c>
      <c r="G47" s="16"/>
      <c r="H47" s="513"/>
      <c r="I47" s="323"/>
      <c r="J47" s="16"/>
      <c r="K47" s="27"/>
      <c r="L47" s="27">
        <f t="shared" si="1"/>
        <v>0</v>
      </c>
    </row>
    <row r="48" spans="1:12" ht="30" customHeight="1" x14ac:dyDescent="0.25">
      <c r="A48" s="168" t="s">
        <v>371</v>
      </c>
      <c r="B48" s="131" t="s">
        <v>372</v>
      </c>
      <c r="C48" s="302" t="s">
        <v>8</v>
      </c>
      <c r="D48" s="455"/>
      <c r="E48" s="381"/>
      <c r="F48" s="191"/>
      <c r="G48" s="16"/>
      <c r="H48" s="512"/>
      <c r="I48" s="322" t="str">
        <f>IF(AND(E47&lt;&gt;"Prevalentemente",OR(E48&gt;0,E48&lt;0)),"Il numero di Comuni va fornito se la risposta a Gest_SII è 'Prevalentemente'",IF(AND(E47="Prevalentemente",E48&lt;=0),"Il valore fornito deve essere maggiore di zero",""))</f>
        <v/>
      </c>
      <c r="J48" s="16"/>
      <c r="K48" s="27"/>
      <c r="L48" s="27">
        <f t="shared" si="1"/>
        <v>0</v>
      </c>
    </row>
    <row r="49" spans="1:12" ht="61.5" customHeight="1" x14ac:dyDescent="0.25">
      <c r="A49" s="135"/>
      <c r="B49" s="131" t="s">
        <v>373</v>
      </c>
      <c r="C49" s="265" t="s">
        <v>1</v>
      </c>
      <c r="D49" s="461"/>
      <c r="E49" s="396"/>
      <c r="F49" s="191"/>
      <c r="G49" s="16"/>
      <c r="H49" s="513"/>
      <c r="I49" s="323"/>
      <c r="J49" s="16"/>
      <c r="K49" s="27"/>
      <c r="L49" s="27">
        <f t="shared" si="1"/>
        <v>0</v>
      </c>
    </row>
    <row r="50" spans="1:12" ht="25.35" customHeight="1" x14ac:dyDescent="0.25">
      <c r="A50" s="168" t="s">
        <v>374</v>
      </c>
      <c r="B50" s="132" t="s">
        <v>375</v>
      </c>
      <c r="C50" s="302" t="s">
        <v>8</v>
      </c>
      <c r="D50" s="455"/>
      <c r="E50" s="381"/>
      <c r="F50" s="191"/>
      <c r="G50" s="16"/>
      <c r="H50" s="512"/>
      <c r="I50" s="322" t="str">
        <f>IF(AND(E47&lt;&gt;"Prevalentemente",OR(E50&gt;0,E50&lt;0)),"Il numero di utenti va fornito se la risposta a Gest_SII è 'Prevalentemente'",IF(AND(E47="Prevalentemente",E50&lt;=0),"Il valore fornito deve essere maggiore di zero",""))</f>
        <v/>
      </c>
      <c r="J50" s="16"/>
      <c r="K50" s="27"/>
      <c r="L50" s="27">
        <f t="shared" si="1"/>
        <v>0</v>
      </c>
    </row>
    <row r="51" spans="1:12" ht="25.35" customHeight="1" x14ac:dyDescent="0.25">
      <c r="A51" s="168" t="s">
        <v>376</v>
      </c>
      <c r="B51" s="132" t="s">
        <v>377</v>
      </c>
      <c r="C51" s="302" t="s">
        <v>8</v>
      </c>
      <c r="D51" s="455"/>
      <c r="E51" s="381"/>
      <c r="F51" s="191"/>
      <c r="G51" s="16"/>
      <c r="H51" s="512"/>
      <c r="I51" s="322" t="str">
        <f>IF(AND(E47&lt;&gt;"Prevalentemente",OR(E51&gt;0,E51&lt;0)),"Il numero di utenti va fornito se la risposta a Gest_SII è 'Prevalentemente'",IF(AND(E47="Prevalentemente",E51&lt;=0),"Il valore fornito deve essere maggiore di zero",""))</f>
        <v/>
      </c>
      <c r="J51" s="16"/>
      <c r="K51" s="27"/>
      <c r="L51" s="27">
        <f t="shared" si="1"/>
        <v>0</v>
      </c>
    </row>
    <row r="52" spans="1:12" ht="32.1" customHeight="1" x14ac:dyDescent="0.25">
      <c r="A52" s="230" t="s">
        <v>378</v>
      </c>
      <c r="B52" s="129" t="s">
        <v>379</v>
      </c>
      <c r="C52" s="299" t="s">
        <v>4</v>
      </c>
      <c r="D52" s="462"/>
      <c r="E52" s="310">
        <f>IF(E47="NO",0,IF(AND(E47="SI",'QT-Acquedotto'!E87&gt;0,E46&gt;0),E46/'QT-Acquedotto'!E87,IF(AND(E47="Prevalentemente",E50&gt;0,E51&gt;0),E51/E50,0)))</f>
        <v>0</v>
      </c>
      <c r="F52" s="191" t="s">
        <v>355</v>
      </c>
      <c r="G52" s="16"/>
      <c r="H52" s="513"/>
      <c r="I52" s="323"/>
      <c r="J52" s="16"/>
      <c r="K52" s="27"/>
      <c r="L52" s="27">
        <f t="shared" si="1"/>
        <v>0</v>
      </c>
    </row>
    <row r="53" spans="1:12" ht="32.1" customHeight="1" x14ac:dyDescent="0.25">
      <c r="A53" s="168" t="s">
        <v>380</v>
      </c>
      <c r="B53" s="131" t="s">
        <v>381</v>
      </c>
      <c r="C53" s="302" t="s">
        <v>382</v>
      </c>
      <c r="D53" s="455"/>
      <c r="E53" s="381"/>
      <c r="F53" s="191" t="s">
        <v>383</v>
      </c>
      <c r="G53" s="16"/>
      <c r="H53" s="512"/>
      <c r="I53" s="322" t="str">
        <f>IF(E53&lt;0,"Il valore deve essere maggiore o uguale a zero","")</f>
        <v/>
      </c>
      <c r="J53" s="16"/>
      <c r="K53" s="27"/>
      <c r="L53" s="27">
        <f t="shared" si="1"/>
        <v>0</v>
      </c>
    </row>
    <row r="54" spans="1:12" ht="25.35" customHeight="1" x14ac:dyDescent="0.25">
      <c r="A54" s="168" t="s">
        <v>475</v>
      </c>
      <c r="B54" s="133" t="s">
        <v>476</v>
      </c>
      <c r="C54" s="302" t="s">
        <v>382</v>
      </c>
      <c r="D54" s="455"/>
      <c r="E54" s="381"/>
      <c r="F54" s="191"/>
      <c r="G54" s="16"/>
      <c r="H54" s="512"/>
      <c r="I54" s="322" t="str">
        <f>IF(OR(E54&lt;0,E54&gt;E53),"Il valore deve essere maggiore o uguale a zero e minore di EN_dep","")</f>
        <v/>
      </c>
      <c r="J54" s="16"/>
      <c r="K54" s="27"/>
      <c r="L54" s="27">
        <f t="shared" si="1"/>
        <v>0</v>
      </c>
    </row>
    <row r="55" spans="1:12" ht="32.1" customHeight="1" x14ac:dyDescent="0.25">
      <c r="A55" s="295" t="s">
        <v>384</v>
      </c>
      <c r="B55" s="296" t="s">
        <v>385</v>
      </c>
      <c r="C55" s="303" t="s">
        <v>382</v>
      </c>
      <c r="D55" s="455"/>
      <c r="E55" s="381"/>
      <c r="F55" s="394" t="s">
        <v>383</v>
      </c>
      <c r="G55" s="16"/>
      <c r="H55" s="512"/>
      <c r="I55" s="322" t="str">
        <f t="shared" ref="I55:I59" si="2">IF(E55&lt;0,"Il valore deve essere maggiore o uguale a zero","")</f>
        <v/>
      </c>
      <c r="J55" s="16"/>
      <c r="K55" s="27"/>
      <c r="L55" s="27">
        <f t="shared" si="1"/>
        <v>0</v>
      </c>
    </row>
    <row r="56" spans="1:12" ht="32.1" customHeight="1" x14ac:dyDescent="0.25">
      <c r="A56" s="230" t="s">
        <v>386</v>
      </c>
      <c r="B56" s="129" t="s">
        <v>387</v>
      </c>
      <c r="C56" s="299" t="s">
        <v>388</v>
      </c>
      <c r="D56" s="463"/>
      <c r="E56" s="397"/>
      <c r="F56" s="191" t="s">
        <v>2348</v>
      </c>
      <c r="G56" s="16"/>
      <c r="H56" s="512"/>
      <c r="I56" s="322" t="str">
        <f t="shared" si="2"/>
        <v/>
      </c>
      <c r="J56" s="16"/>
      <c r="K56" s="27"/>
      <c r="L56" s="27">
        <f t="shared" si="1"/>
        <v>0</v>
      </c>
    </row>
    <row r="57" spans="1:12" ht="30" x14ac:dyDescent="0.25">
      <c r="A57" s="141" t="s">
        <v>2900</v>
      </c>
      <c r="B57" s="134" t="s">
        <v>2575</v>
      </c>
      <c r="C57" s="298" t="s">
        <v>2574</v>
      </c>
      <c r="D57" s="451"/>
      <c r="E57" s="532"/>
      <c r="F57" s="214"/>
      <c r="G57" s="16"/>
      <c r="H57" s="512"/>
      <c r="I57" s="322" t="str">
        <f t="shared" si="2"/>
        <v/>
      </c>
      <c r="K57" s="27"/>
      <c r="L57" s="27">
        <f t="shared" ref="L57:L79" si="3">IF(I57="",0,1)</f>
        <v>0</v>
      </c>
    </row>
    <row r="58" spans="1:12" ht="30" x14ac:dyDescent="0.25">
      <c r="A58" s="569" t="s">
        <v>2901</v>
      </c>
      <c r="B58" s="570" t="s">
        <v>2577</v>
      </c>
      <c r="C58" s="571" t="s">
        <v>2576</v>
      </c>
      <c r="D58" s="451"/>
      <c r="E58" s="532"/>
      <c r="F58" s="196"/>
      <c r="G58" s="16"/>
      <c r="H58" s="512"/>
      <c r="I58" s="322" t="str">
        <f t="shared" si="2"/>
        <v/>
      </c>
      <c r="K58" s="27"/>
      <c r="L58" s="27">
        <f t="shared" si="3"/>
        <v>0</v>
      </c>
    </row>
    <row r="59" spans="1:12" ht="30" x14ac:dyDescent="0.25">
      <c r="A59" s="141" t="s">
        <v>2902</v>
      </c>
      <c r="B59" s="134" t="s">
        <v>2582</v>
      </c>
      <c r="C59" s="298" t="s">
        <v>2574</v>
      </c>
      <c r="D59" s="451"/>
      <c r="E59" s="532"/>
      <c r="F59" s="603"/>
      <c r="G59" s="16"/>
      <c r="H59" s="512"/>
      <c r="I59" s="322" t="str">
        <f t="shared" si="2"/>
        <v/>
      </c>
      <c r="K59" s="27"/>
      <c r="L59" s="27">
        <f t="shared" si="3"/>
        <v>0</v>
      </c>
    </row>
    <row r="60" spans="1:12" ht="34.5" customHeight="1" x14ac:dyDescent="0.25">
      <c r="A60" s="141" t="s">
        <v>2903</v>
      </c>
      <c r="B60" s="122" t="s">
        <v>2578</v>
      </c>
      <c r="C60" s="298" t="s">
        <v>2574</v>
      </c>
      <c r="D60" s="451"/>
      <c r="E60" s="532"/>
      <c r="F60" s="214"/>
      <c r="G60" s="16"/>
      <c r="H60" s="991"/>
      <c r="I60" s="983" t="str">
        <f>IF(OR(E60&lt;&gt;"",E61&lt;&gt;"",E62&lt;&gt;"",E63&lt;&gt;"",E64&lt;&gt;""),IF(OR(E60&lt;0,E61&lt;0,E62&lt;0,E63&lt;0,E64&lt;0,E60+E61+E62+E63+E64&lt;&gt;E59),"Ogni di cui deve essere maggiore o uguale a zero e la somma deve essere pari a EEprod",""),"")</f>
        <v/>
      </c>
      <c r="K60" s="27"/>
      <c r="L60" s="27">
        <f t="shared" si="3"/>
        <v>0</v>
      </c>
    </row>
    <row r="61" spans="1:12" ht="33.75" customHeight="1" x14ac:dyDescent="0.25">
      <c r="A61" s="141" t="s">
        <v>2899</v>
      </c>
      <c r="B61" s="122" t="s">
        <v>2579</v>
      </c>
      <c r="C61" s="298" t="s">
        <v>2574</v>
      </c>
      <c r="D61" s="451"/>
      <c r="E61" s="532"/>
      <c r="F61" s="214"/>
      <c r="G61" s="16"/>
      <c r="H61" s="992"/>
      <c r="I61" s="987"/>
      <c r="K61" s="27"/>
      <c r="L61" s="27">
        <f t="shared" si="3"/>
        <v>0</v>
      </c>
    </row>
    <row r="62" spans="1:12" ht="33" customHeight="1" x14ac:dyDescent="0.25">
      <c r="A62" s="141" t="s">
        <v>2904</v>
      </c>
      <c r="B62" s="122" t="s">
        <v>2580</v>
      </c>
      <c r="C62" s="298" t="s">
        <v>2574</v>
      </c>
      <c r="D62" s="451"/>
      <c r="E62" s="532"/>
      <c r="F62" s="214"/>
      <c r="G62" s="16"/>
      <c r="H62" s="992"/>
      <c r="I62" s="987"/>
      <c r="K62" s="27"/>
      <c r="L62" s="27">
        <f t="shared" si="3"/>
        <v>0</v>
      </c>
    </row>
    <row r="63" spans="1:12" ht="32.25" customHeight="1" x14ac:dyDescent="0.25">
      <c r="A63" s="141" t="s">
        <v>2905</v>
      </c>
      <c r="B63" s="122" t="s">
        <v>2581</v>
      </c>
      <c r="C63" s="298" t="s">
        <v>2574</v>
      </c>
      <c r="D63" s="451"/>
      <c r="E63" s="532"/>
      <c r="F63" s="214"/>
      <c r="G63" s="16"/>
      <c r="H63" s="992"/>
      <c r="I63" s="987"/>
      <c r="K63" s="27"/>
      <c r="L63" s="27">
        <f t="shared" si="3"/>
        <v>0</v>
      </c>
    </row>
    <row r="64" spans="1:12" ht="32.25" customHeight="1" x14ac:dyDescent="0.25">
      <c r="A64" s="141" t="s">
        <v>2906</v>
      </c>
      <c r="B64" s="122" t="s">
        <v>339</v>
      </c>
      <c r="C64" s="298" t="s">
        <v>2574</v>
      </c>
      <c r="D64" s="451"/>
      <c r="E64" s="532"/>
      <c r="F64" s="214"/>
      <c r="G64" s="16"/>
      <c r="H64" s="992"/>
      <c r="I64" s="987"/>
      <c r="K64" s="27"/>
      <c r="L64" s="27">
        <f t="shared" si="3"/>
        <v>0</v>
      </c>
    </row>
    <row r="65" spans="1:12" ht="30" x14ac:dyDescent="0.25">
      <c r="A65" s="141" t="s">
        <v>2907</v>
      </c>
      <c r="B65" s="134" t="s">
        <v>2588</v>
      </c>
      <c r="C65" s="298" t="s">
        <v>2583</v>
      </c>
      <c r="D65" s="451"/>
      <c r="E65" s="532"/>
      <c r="F65" s="191" t="s">
        <v>2918</v>
      </c>
      <c r="G65" s="16"/>
      <c r="H65" s="512"/>
      <c r="I65" s="322" t="str">
        <f>IF(E65&lt;0,"Il valore deve essere maggiore o uguale a zero","")</f>
        <v/>
      </c>
      <c r="K65" s="27"/>
      <c r="L65" s="27">
        <f t="shared" si="3"/>
        <v>0</v>
      </c>
    </row>
    <row r="66" spans="1:12" ht="26.25" customHeight="1" x14ac:dyDescent="0.25">
      <c r="A66" s="141" t="s">
        <v>2908</v>
      </c>
      <c r="B66" s="122" t="s">
        <v>2579</v>
      </c>
      <c r="C66" s="298" t="s">
        <v>2583</v>
      </c>
      <c r="D66" s="451"/>
      <c r="E66" s="532"/>
      <c r="F66" s="214"/>
      <c r="G66" s="16"/>
      <c r="H66" s="991"/>
      <c r="I66" s="983" t="str">
        <f>IF(OR(E66&lt;&gt;"",E67&lt;&gt;"",E68&lt;&gt;"",E69&lt;&gt;""),IF(OR(E66&lt;0,E67&lt;0,E68&lt;0,E69&lt;0,E66+E67+E68+E69&lt;&gt;E65),"Ogni di cui deve essere maggiore o uguale a zero e la somma deve essere pari a ETprod",""),"")</f>
        <v/>
      </c>
      <c r="K66" s="27"/>
      <c r="L66" s="27">
        <f t="shared" si="3"/>
        <v>0</v>
      </c>
    </row>
    <row r="67" spans="1:12" ht="30" x14ac:dyDescent="0.25">
      <c r="A67" s="141" t="s">
        <v>2909</v>
      </c>
      <c r="B67" s="122" t="s">
        <v>2580</v>
      </c>
      <c r="C67" s="298" t="s">
        <v>2583</v>
      </c>
      <c r="D67" s="451"/>
      <c r="E67" s="532"/>
      <c r="F67" s="214"/>
      <c r="G67" s="16"/>
      <c r="H67" s="992"/>
      <c r="I67" s="987"/>
      <c r="K67" s="27"/>
      <c r="L67" s="27">
        <f t="shared" si="3"/>
        <v>0</v>
      </c>
    </row>
    <row r="68" spans="1:12" ht="30" x14ac:dyDescent="0.25">
      <c r="A68" s="141" t="s">
        <v>2910</v>
      </c>
      <c r="B68" s="122" t="s">
        <v>2581</v>
      </c>
      <c r="C68" s="298" t="s">
        <v>2583</v>
      </c>
      <c r="D68" s="451"/>
      <c r="E68" s="532"/>
      <c r="F68" s="214"/>
      <c r="G68" s="16"/>
      <c r="H68" s="992"/>
      <c r="I68" s="987"/>
      <c r="K68" s="27"/>
      <c r="L68" s="27">
        <f t="shared" si="3"/>
        <v>0</v>
      </c>
    </row>
    <row r="69" spans="1:12" ht="30" x14ac:dyDescent="0.25">
      <c r="A69" s="141" t="s">
        <v>2911</v>
      </c>
      <c r="B69" s="122" t="s">
        <v>339</v>
      </c>
      <c r="C69" s="298" t="s">
        <v>2583</v>
      </c>
      <c r="D69" s="451"/>
      <c r="E69" s="532"/>
      <c r="F69" s="214"/>
      <c r="G69" s="16"/>
      <c r="H69" s="992"/>
      <c r="I69" s="987"/>
      <c r="K69" s="27"/>
      <c r="L69" s="27">
        <f t="shared" si="3"/>
        <v>0</v>
      </c>
    </row>
    <row r="70" spans="1:12" ht="39" customHeight="1" x14ac:dyDescent="0.25">
      <c r="A70" s="141" t="s">
        <v>2912</v>
      </c>
      <c r="B70" s="134" t="s">
        <v>2585</v>
      </c>
      <c r="C70" s="298" t="s">
        <v>2576</v>
      </c>
      <c r="D70" s="451"/>
      <c r="E70" s="532"/>
      <c r="F70" s="191" t="s">
        <v>2601</v>
      </c>
      <c r="G70" s="16"/>
      <c r="H70" s="512"/>
      <c r="I70" s="322" t="str">
        <f>IF(E70&lt;0,"Il valore deve essere maggiore o uguale a zero","")</f>
        <v/>
      </c>
      <c r="K70" s="27"/>
      <c r="L70" s="27">
        <f t="shared" si="3"/>
        <v>0</v>
      </c>
    </row>
    <row r="71" spans="1:12" ht="30" x14ac:dyDescent="0.25">
      <c r="A71" s="141" t="s">
        <v>2913</v>
      </c>
      <c r="B71" s="122" t="s">
        <v>2584</v>
      </c>
      <c r="C71" s="298" t="s">
        <v>2576</v>
      </c>
      <c r="D71" s="451"/>
      <c r="E71" s="532"/>
      <c r="F71" s="214"/>
      <c r="G71" s="16"/>
      <c r="H71" s="512"/>
      <c r="I71" s="322" t="str">
        <f>IF(OR(E71&lt;0,E71&gt;E70),"Il valore deve essere maggiore o uguale a zero e minore di Gas_prod","")</f>
        <v/>
      </c>
      <c r="K71" s="27"/>
      <c r="L71" s="27">
        <f t="shared" si="3"/>
        <v>0</v>
      </c>
    </row>
    <row r="72" spans="1:12" ht="30" x14ac:dyDescent="0.25">
      <c r="A72" s="568" t="s">
        <v>2586</v>
      </c>
      <c r="B72" s="291" t="s">
        <v>2587</v>
      </c>
      <c r="C72" s="572" t="s">
        <v>1</v>
      </c>
      <c r="D72" s="464"/>
      <c r="E72" s="742" t="str">
        <f>IF(E3="SI",IF(AND(E59=0,E65=0,E70=0),100,MIN(100,((2.42*E57+0.292*E58)/(2.42*E59+1.5*E65+0.292*E70)))),"")</f>
        <v/>
      </c>
      <c r="F72" s="191" t="s">
        <v>2598</v>
      </c>
      <c r="G72" s="16"/>
      <c r="H72" s="512"/>
      <c r="I72" s="324"/>
      <c r="K72" s="27"/>
      <c r="L72" s="27">
        <f t="shared" si="3"/>
        <v>0</v>
      </c>
    </row>
    <row r="73" spans="1:12" ht="30" x14ac:dyDescent="0.25">
      <c r="A73" s="141" t="s">
        <v>2914</v>
      </c>
      <c r="B73" s="134" t="s">
        <v>2595</v>
      </c>
      <c r="C73" s="298" t="s">
        <v>2589</v>
      </c>
      <c r="D73" s="451"/>
      <c r="E73" s="532"/>
      <c r="F73" s="214"/>
      <c r="G73" s="16"/>
      <c r="H73" s="512"/>
      <c r="I73" s="322" t="str">
        <f>IF(E73&lt;0,"Il valore deve essere maggiore o uguale a zero","")</f>
        <v/>
      </c>
      <c r="K73" s="27"/>
      <c r="L73" s="27">
        <f t="shared" si="3"/>
        <v>0</v>
      </c>
    </row>
    <row r="74" spans="1:12" ht="26.25" customHeight="1" x14ac:dyDescent="0.25">
      <c r="A74" s="141" t="s">
        <v>2915</v>
      </c>
      <c r="B74" s="122" t="s">
        <v>2590</v>
      </c>
      <c r="C74" s="298" t="s">
        <v>2589</v>
      </c>
      <c r="D74" s="451"/>
      <c r="E74" s="532"/>
      <c r="F74" s="214"/>
      <c r="G74" s="16"/>
      <c r="H74" s="991"/>
      <c r="I74" s="983" t="str">
        <f>IF(OR(E74&lt;&gt;"",E75&lt;&gt;"",E76&lt;&gt;""),IF(OR(E74&lt;0,E75&lt;0,E76&lt;0,E74+E75+E76&lt;&gt;E73),"Ogni di cui deve essere maggiore o uguale a zero e la somma deve essere pari a Mrec",""),"")</f>
        <v/>
      </c>
      <c r="K74" s="27"/>
      <c r="L74" s="27">
        <f t="shared" si="3"/>
        <v>0</v>
      </c>
    </row>
    <row r="75" spans="1:12" ht="29.25" customHeight="1" x14ac:dyDescent="0.25">
      <c r="A75" s="141" t="s">
        <v>2916</v>
      </c>
      <c r="B75" s="122" t="s">
        <v>2591</v>
      </c>
      <c r="C75" s="298" t="s">
        <v>2589</v>
      </c>
      <c r="D75" s="451"/>
      <c r="E75" s="532"/>
      <c r="F75" s="214"/>
      <c r="G75" s="16"/>
      <c r="H75" s="992"/>
      <c r="I75" s="987"/>
      <c r="K75" s="27"/>
      <c r="L75" s="27">
        <f t="shared" si="3"/>
        <v>0</v>
      </c>
    </row>
    <row r="76" spans="1:12" ht="25.5" customHeight="1" x14ac:dyDescent="0.25">
      <c r="A76" s="141" t="s">
        <v>2917</v>
      </c>
      <c r="B76" s="122" t="s">
        <v>2592</v>
      </c>
      <c r="C76" s="298" t="s">
        <v>2589</v>
      </c>
      <c r="D76" s="451"/>
      <c r="E76" s="532"/>
      <c r="F76" s="191" t="s">
        <v>2600</v>
      </c>
      <c r="G76" s="16"/>
      <c r="H76" s="992"/>
      <c r="I76" s="987"/>
      <c r="K76" s="27"/>
      <c r="L76" s="27">
        <f t="shared" si="3"/>
        <v>0</v>
      </c>
    </row>
    <row r="77" spans="1:12" ht="46.5" customHeight="1" x14ac:dyDescent="0.25">
      <c r="A77" s="165" t="s">
        <v>2844</v>
      </c>
      <c r="B77" s="134" t="s">
        <v>452</v>
      </c>
      <c r="C77" s="298" t="s">
        <v>52</v>
      </c>
      <c r="D77" s="463"/>
      <c r="E77" s="531"/>
      <c r="F77" s="191"/>
      <c r="G77" s="16"/>
      <c r="H77" s="512"/>
      <c r="I77" s="322" t="str">
        <f>IF(E3="SI",IF(OR(E77&lt;=0,E77=""),"Il valore deve essere maggiore di zero",""),IF(E77&lt;&gt;0,"Non risulta gestito il servizio di depurazione",""))</f>
        <v/>
      </c>
      <c r="K77" s="27"/>
      <c r="L77" s="27">
        <f t="shared" si="3"/>
        <v>0</v>
      </c>
    </row>
    <row r="78" spans="1:12" ht="46.5" customHeight="1" x14ac:dyDescent="0.25">
      <c r="A78" s="165" t="s">
        <v>2919</v>
      </c>
      <c r="B78" s="122" t="s">
        <v>2609</v>
      </c>
      <c r="C78" s="298" t="s">
        <v>52</v>
      </c>
      <c r="D78" s="455"/>
      <c r="E78" s="531"/>
      <c r="F78" s="191"/>
      <c r="G78" s="16"/>
      <c r="H78" s="512"/>
      <c r="I78" s="322" t="str">
        <f>IF(E78&lt;0,"Il valore deve essere maggiore o uguale a zero","")</f>
        <v/>
      </c>
      <c r="K78" s="27"/>
      <c r="L78" s="27">
        <f t="shared" si="3"/>
        <v>0</v>
      </c>
    </row>
    <row r="79" spans="1:12" ht="32.25" customHeight="1" thickBot="1" x14ac:dyDescent="0.3">
      <c r="A79" s="573" t="s">
        <v>2596</v>
      </c>
      <c r="B79" s="574" t="s">
        <v>2593</v>
      </c>
      <c r="C79" s="575" t="s">
        <v>2594</v>
      </c>
      <c r="D79" s="576"/>
      <c r="E79" s="743" t="str">
        <f>IF(E3="SI",IF(OR(AND(E73="",E78=""),OR(E73=0,E78=0)),"",E73/E78),"")</f>
        <v/>
      </c>
      <c r="F79" s="340" t="s">
        <v>2599</v>
      </c>
      <c r="G79" s="16"/>
      <c r="H79" s="515"/>
      <c r="I79" s="374"/>
      <c r="K79" s="27"/>
      <c r="L79" s="27">
        <f t="shared" si="3"/>
        <v>0</v>
      </c>
    </row>
    <row r="80" spans="1:12" ht="10.5" customHeight="1" x14ac:dyDescent="0.25">
      <c r="A80" s="64"/>
      <c r="B80" s="65"/>
      <c r="C80" s="66"/>
      <c r="D80" s="67"/>
      <c r="E80" s="67"/>
      <c r="F80" s="68"/>
      <c r="G80" s="68"/>
      <c r="H80" s="97"/>
      <c r="I80" s="97"/>
      <c r="J80" s="68"/>
      <c r="K80" s="27"/>
      <c r="L80" s="27"/>
    </row>
    <row r="81" spans="1:12" ht="18" thickBot="1" x14ac:dyDescent="0.3">
      <c r="A81" s="878" t="s">
        <v>3151</v>
      </c>
      <c r="B81" s="65"/>
      <c r="C81" s="66"/>
      <c r="D81" s="67"/>
      <c r="E81" s="67"/>
      <c r="F81" s="68"/>
      <c r="G81" s="68"/>
      <c r="H81" s="94"/>
      <c r="I81" s="94"/>
      <c r="J81" s="68"/>
      <c r="K81" s="27"/>
      <c r="L81" s="27">
        <f t="shared" si="1"/>
        <v>0</v>
      </c>
    </row>
    <row r="82" spans="1:12" ht="45" x14ac:dyDescent="0.25">
      <c r="A82" s="70" t="s">
        <v>473</v>
      </c>
      <c r="B82" s="71" t="s">
        <v>2447</v>
      </c>
      <c r="C82" s="35" t="s">
        <v>8</v>
      </c>
      <c r="D82" s="784"/>
      <c r="E82" s="799">
        <f>E15</f>
        <v>0</v>
      </c>
      <c r="F82" s="244" t="s">
        <v>2597</v>
      </c>
      <c r="G82" s="95"/>
      <c r="H82" s="805"/>
      <c r="I82" s="208"/>
      <c r="J82" s="95"/>
      <c r="K82" s="27"/>
      <c r="L82" s="27">
        <f t="shared" si="1"/>
        <v>0</v>
      </c>
    </row>
    <row r="83" spans="1:12" ht="45" customHeight="1" x14ac:dyDescent="0.25">
      <c r="A83" s="774" t="s">
        <v>474</v>
      </c>
      <c r="B83" s="792" t="s">
        <v>2448</v>
      </c>
      <c r="C83" s="793" t="s">
        <v>3</v>
      </c>
      <c r="D83" s="785"/>
      <c r="E83" s="800">
        <f>E16</f>
        <v>0</v>
      </c>
      <c r="F83" s="804" t="s">
        <v>2597</v>
      </c>
      <c r="G83" s="95"/>
      <c r="H83" s="806"/>
      <c r="I83" s="811"/>
      <c r="J83" s="95"/>
      <c r="K83" s="27"/>
      <c r="L83" s="27">
        <f t="shared" si="1"/>
        <v>0</v>
      </c>
    </row>
    <row r="84" spans="1:12" ht="45" customHeight="1" x14ac:dyDescent="0.25">
      <c r="A84" s="794" t="s">
        <v>527</v>
      </c>
      <c r="B84" s="795" t="s">
        <v>521</v>
      </c>
      <c r="C84" s="796" t="s">
        <v>1</v>
      </c>
      <c r="D84" s="786"/>
      <c r="E84" s="801" t="str">
        <f>IF(E3="SI",IF(OR(E82&gt;0,E83&gt;0,AND(E82="",E83="")),"NO","SI"),"")</f>
        <v/>
      </c>
      <c r="F84" s="650" t="s">
        <v>3032</v>
      </c>
      <c r="G84" s="95"/>
      <c r="H84" s="806"/>
      <c r="I84" s="812" t="str">
        <f>IF(AND(E$3="SI",E84="NO"),"Attenzione, prerequisito mancante","")</f>
        <v/>
      </c>
      <c r="J84" s="95"/>
      <c r="K84" s="27"/>
      <c r="L84" s="27">
        <f t="shared" si="1"/>
        <v>0</v>
      </c>
    </row>
    <row r="85" spans="1:12" ht="45" x14ac:dyDescent="0.25">
      <c r="A85" s="410" t="s">
        <v>525</v>
      </c>
      <c r="B85" s="411" t="s">
        <v>526</v>
      </c>
      <c r="C85" s="413" t="s">
        <v>1</v>
      </c>
      <c r="D85" s="787"/>
      <c r="E85" s="802"/>
      <c r="F85" s="416" t="s">
        <v>2570</v>
      </c>
      <c r="G85" s="95"/>
      <c r="H85" s="807"/>
      <c r="I85" s="232" t="str">
        <f>IF(AND(E3="SI",OR(E85="Non adeguato",E85="")),"Attenzione, prerequisito mancante","")</f>
        <v/>
      </c>
      <c r="J85" s="95"/>
      <c r="K85" s="27"/>
      <c r="L85" s="27">
        <f t="shared" si="1"/>
        <v>0</v>
      </c>
    </row>
    <row r="86" spans="1:12" ht="45" customHeight="1" x14ac:dyDescent="0.25">
      <c r="A86" s="780" t="s">
        <v>390</v>
      </c>
      <c r="B86" s="781" t="s">
        <v>391</v>
      </c>
      <c r="C86" s="782" t="s">
        <v>1</v>
      </c>
      <c r="D86" s="788"/>
      <c r="E86" s="803"/>
      <c r="F86" s="416" t="s">
        <v>3029</v>
      </c>
      <c r="G86" s="95"/>
      <c r="H86" s="808"/>
      <c r="I86" s="783"/>
      <c r="J86" s="79"/>
      <c r="K86" s="27"/>
      <c r="L86" s="27">
        <f t="shared" ref="L86" si="4">IF(I86="",0,1)</f>
        <v>0</v>
      </c>
    </row>
    <row r="87" spans="1:12" ht="60.75" customHeight="1" x14ac:dyDescent="0.25">
      <c r="A87" s="797" t="s">
        <v>2845</v>
      </c>
      <c r="B87" s="678" t="s">
        <v>2852</v>
      </c>
      <c r="C87" s="798" t="s">
        <v>1</v>
      </c>
      <c r="D87" s="789"/>
      <c r="E87" s="816"/>
      <c r="F87" s="650" t="s">
        <v>3118</v>
      </c>
      <c r="G87" s="95"/>
      <c r="H87" s="809"/>
      <c r="I87" s="813"/>
      <c r="J87" s="95"/>
      <c r="K87" s="27"/>
      <c r="L87" s="27">
        <f t="shared" ref="L87:L89" si="5">IF(I87="",0,1)</f>
        <v>0</v>
      </c>
    </row>
    <row r="88" spans="1:12" ht="58.5" customHeight="1" x14ac:dyDescent="0.25">
      <c r="A88" s="774" t="s">
        <v>2846</v>
      </c>
      <c r="B88" s="678" t="s">
        <v>2853</v>
      </c>
      <c r="C88" s="793" t="s">
        <v>1</v>
      </c>
      <c r="D88" s="790"/>
      <c r="E88" s="817"/>
      <c r="F88" s="650" t="s">
        <v>2847</v>
      </c>
      <c r="G88" s="95"/>
      <c r="H88" s="809"/>
      <c r="I88" s="813"/>
      <c r="J88" s="79"/>
      <c r="K88" s="27"/>
      <c r="L88" s="27">
        <f t="shared" ref="L88" si="6">IF(I88="",0,1)</f>
        <v>0</v>
      </c>
    </row>
    <row r="89" spans="1:12" ht="45.75" thickBot="1" x14ac:dyDescent="0.3">
      <c r="A89" s="815" t="s">
        <v>3176</v>
      </c>
      <c r="B89" s="814" t="s">
        <v>3182</v>
      </c>
      <c r="C89" s="414" t="s">
        <v>1</v>
      </c>
      <c r="D89" s="791"/>
      <c r="E89" s="818"/>
      <c r="F89" s="821" t="s">
        <v>3121</v>
      </c>
      <c r="G89" s="79"/>
      <c r="H89" s="810"/>
      <c r="I89" s="881" t="str">
        <f>IF(AND(E3="SI",E89="SI"),"Attenzione, verificare l'adeguatezza della frequenza dei campionamenti","")</f>
        <v/>
      </c>
      <c r="J89" s="79"/>
      <c r="K89" s="27"/>
      <c r="L89" s="27">
        <f t="shared" si="5"/>
        <v>0</v>
      </c>
    </row>
    <row r="90" spans="1:12" ht="10.5" customHeight="1" x14ac:dyDescent="0.25">
      <c r="A90" s="32"/>
      <c r="B90" s="65"/>
      <c r="C90" s="66"/>
      <c r="D90" s="67"/>
      <c r="E90" s="67"/>
      <c r="F90" s="68"/>
      <c r="G90" s="68"/>
      <c r="H90" s="97"/>
      <c r="I90" s="97"/>
      <c r="J90" s="68"/>
      <c r="K90" s="27"/>
      <c r="L90" s="27">
        <f t="shared" ref="L90:L131" si="7">IF(I90="",0,1)</f>
        <v>0</v>
      </c>
    </row>
    <row r="91" spans="1:12" ht="18" thickBot="1" x14ac:dyDescent="0.3">
      <c r="A91" s="32" t="s">
        <v>389</v>
      </c>
      <c r="B91" s="65"/>
      <c r="C91" s="66"/>
      <c r="D91" s="67"/>
      <c r="E91" s="67"/>
      <c r="F91" s="68"/>
      <c r="G91" s="68"/>
      <c r="H91" s="97"/>
      <c r="I91" s="97"/>
      <c r="J91" s="68"/>
      <c r="K91" s="27"/>
      <c r="L91" s="27">
        <f t="shared" si="7"/>
        <v>0</v>
      </c>
    </row>
    <row r="92" spans="1:12" ht="32.1" customHeight="1" x14ac:dyDescent="0.25">
      <c r="A92" s="98" t="s">
        <v>392</v>
      </c>
      <c r="B92" s="49" t="s">
        <v>393</v>
      </c>
      <c r="C92" s="297" t="s">
        <v>8</v>
      </c>
      <c r="D92" s="454"/>
      <c r="E92" s="229"/>
      <c r="F92" s="2" t="s">
        <v>2807</v>
      </c>
      <c r="G92" s="16"/>
      <c r="H92" s="805"/>
      <c r="I92" s="206" t="str">
        <f>IF(E3="SI",IF(OR(E92&lt;=0,E92=""),"Il valore deve essere maggiore di zero",""),IF(E92&lt;&gt;0,"Non risulta gestito il servizio di depurazione",""))</f>
        <v/>
      </c>
      <c r="J92" s="16"/>
      <c r="K92" s="27"/>
      <c r="L92" s="27">
        <f t="shared" si="7"/>
        <v>0</v>
      </c>
    </row>
    <row r="93" spans="1:12" ht="25.35" customHeight="1" x14ac:dyDescent="0.25">
      <c r="A93" s="889" t="s">
        <v>394</v>
      </c>
      <c r="B93" s="882" t="s">
        <v>395</v>
      </c>
      <c r="C93" s="883" t="s">
        <v>8</v>
      </c>
      <c r="D93" s="819"/>
      <c r="E93" s="890"/>
      <c r="F93" s="650"/>
      <c r="G93" s="16"/>
      <c r="H93" s="806"/>
      <c r="I93" s="812" t="str">
        <f>IF(OR(E93&lt;0,E93&gt;E92),"Il valore deve essere maggiore o uguale a zero e minore o uguale a Ndep","")</f>
        <v/>
      </c>
      <c r="J93" s="16"/>
      <c r="K93" s="27"/>
      <c r="L93" s="27">
        <f t="shared" si="7"/>
        <v>0</v>
      </c>
    </row>
    <row r="94" spans="1:12" ht="30.75" customHeight="1" x14ac:dyDescent="0.25">
      <c r="A94" s="889" t="s">
        <v>396</v>
      </c>
      <c r="B94" s="891" t="s">
        <v>397</v>
      </c>
      <c r="C94" s="883" t="s">
        <v>8</v>
      </c>
      <c r="D94" s="819"/>
      <c r="E94" s="890"/>
      <c r="F94" s="924"/>
      <c r="G94" s="16"/>
      <c r="H94" s="806"/>
      <c r="I94" s="812" t="str">
        <f>IF(OR(E94&lt;0,E94&gt;E93),"Il valore deve essere maggiore o uguale a zero e minore o uguale a Ndep_2000","")</f>
        <v/>
      </c>
      <c r="J94" s="16"/>
      <c r="K94" s="27"/>
      <c r="L94" s="27">
        <f t="shared" si="7"/>
        <v>0</v>
      </c>
    </row>
    <row r="95" spans="1:12" ht="32.1" customHeight="1" x14ac:dyDescent="0.25">
      <c r="A95" s="892" t="s">
        <v>398</v>
      </c>
      <c r="B95" s="893" t="s">
        <v>399</v>
      </c>
      <c r="C95" s="883" t="s">
        <v>8</v>
      </c>
      <c r="D95" s="894"/>
      <c r="E95" s="895">
        <f>IF(E93-E94&lt;0,"",E93-E94)</f>
        <v>0</v>
      </c>
      <c r="F95" s="650" t="s">
        <v>400</v>
      </c>
      <c r="G95" s="16"/>
      <c r="H95" s="928"/>
      <c r="I95" s="930"/>
      <c r="J95" s="16"/>
      <c r="K95" s="27"/>
      <c r="L95" s="27">
        <f t="shared" si="7"/>
        <v>0</v>
      </c>
    </row>
    <row r="96" spans="1:12" ht="32.1" customHeight="1" x14ac:dyDescent="0.25">
      <c r="A96" s="892" t="s">
        <v>2920</v>
      </c>
      <c r="B96" s="896" t="s">
        <v>2854</v>
      </c>
      <c r="C96" s="883" t="s">
        <v>8</v>
      </c>
      <c r="D96" s="819"/>
      <c r="E96" s="820"/>
      <c r="F96" s="650"/>
      <c r="G96" s="16"/>
      <c r="H96" s="806"/>
      <c r="I96" s="812" t="str">
        <f>IF(OR(E96&lt;0,E96&gt;E95),"Il valore deve essere maggiore o uguale a zero e minore o uguale a N*","")</f>
        <v/>
      </c>
      <c r="J96" s="16"/>
      <c r="K96" s="27"/>
      <c r="L96" s="27">
        <f t="shared" ref="L96:L97" si="8">IF(I96="",0,1)</f>
        <v>0</v>
      </c>
    </row>
    <row r="97" spans="1:12" ht="32.1" customHeight="1" x14ac:dyDescent="0.25">
      <c r="A97" s="892" t="s">
        <v>2921</v>
      </c>
      <c r="B97" s="896" t="s">
        <v>2855</v>
      </c>
      <c r="C97" s="883" t="s">
        <v>8</v>
      </c>
      <c r="D97" s="819"/>
      <c r="E97" s="820"/>
      <c r="F97" s="650"/>
      <c r="G97" s="16"/>
      <c r="H97" s="806"/>
      <c r="I97" s="812" t="str">
        <f>IF(OR(E97&lt;0,E97&gt;E95),"Il valore deve essere maggiore o uguale a zero e minore o uguale a N*","")</f>
        <v/>
      </c>
      <c r="J97" s="16"/>
      <c r="K97" s="27"/>
      <c r="L97" s="27">
        <f t="shared" si="8"/>
        <v>0</v>
      </c>
    </row>
    <row r="98" spans="1:12" ht="32.1" customHeight="1" x14ac:dyDescent="0.25">
      <c r="A98" s="892" t="s">
        <v>398</v>
      </c>
      <c r="B98" s="893" t="s">
        <v>399</v>
      </c>
      <c r="C98" s="883" t="s">
        <v>8</v>
      </c>
      <c r="D98" s="894"/>
      <c r="E98" s="895">
        <f>E95</f>
        <v>0</v>
      </c>
      <c r="F98" s="650"/>
      <c r="G98" s="16"/>
      <c r="H98" s="928"/>
      <c r="I98" s="930"/>
      <c r="J98" s="16"/>
      <c r="K98" s="27"/>
      <c r="L98" s="27"/>
    </row>
    <row r="99" spans="1:12" ht="37.5" customHeight="1" x14ac:dyDescent="0.25">
      <c r="A99" s="892" t="s">
        <v>2922</v>
      </c>
      <c r="B99" s="896" t="s">
        <v>3158</v>
      </c>
      <c r="C99" s="883" t="s">
        <v>8</v>
      </c>
      <c r="D99" s="819"/>
      <c r="E99" s="820"/>
      <c r="F99" s="766" t="s">
        <v>3157</v>
      </c>
      <c r="G99" s="16"/>
      <c r="H99" s="806"/>
      <c r="I99" s="812" t="str">
        <f>IF(OR(E99&lt;0,E99&gt;E95),"Il valore deve essere maggiore o uguale a zero e minore o uguale a N*","")</f>
        <v/>
      </c>
      <c r="J99" s="16"/>
      <c r="K99" s="27"/>
      <c r="L99" s="27">
        <f t="shared" ref="L99" si="9">IF(I99="",0,1)</f>
        <v>0</v>
      </c>
    </row>
    <row r="100" spans="1:12" ht="51" customHeight="1" x14ac:dyDescent="0.25">
      <c r="A100" s="892" t="s">
        <v>401</v>
      </c>
      <c r="B100" s="896" t="s">
        <v>3160</v>
      </c>
      <c r="C100" s="883" t="s">
        <v>8</v>
      </c>
      <c r="D100" s="819"/>
      <c r="E100" s="890"/>
      <c r="F100" s="650" t="s">
        <v>3159</v>
      </c>
      <c r="G100" s="16"/>
      <c r="H100" s="806"/>
      <c r="I100" s="812" t="str">
        <f>IF(OR(E100&lt;0,E100&gt;E95),"Il valore deve essere maggiore o uguale a zero e minore o uguale a N*","")</f>
        <v/>
      </c>
      <c r="J100" s="16"/>
      <c r="K100" s="27"/>
      <c r="L100" s="27">
        <f t="shared" si="7"/>
        <v>0</v>
      </c>
    </row>
    <row r="101" spans="1:12" ht="48.75" customHeight="1" x14ac:dyDescent="0.25">
      <c r="A101" s="892" t="s">
        <v>402</v>
      </c>
      <c r="B101" s="896" t="s">
        <v>3161</v>
      </c>
      <c r="C101" s="883" t="s">
        <v>8</v>
      </c>
      <c r="D101" s="819"/>
      <c r="E101" s="890"/>
      <c r="F101" s="650" t="s">
        <v>3162</v>
      </c>
      <c r="G101" s="16"/>
      <c r="H101" s="806"/>
      <c r="I101" s="812" t="str">
        <f>IF(OR(E101&lt;0,E101&gt;E95),"Il valore deve essere maggiore o uguale a zero e minore o uguale a N*","")</f>
        <v/>
      </c>
      <c r="J101" s="16"/>
      <c r="K101" s="27"/>
      <c r="L101" s="27">
        <f t="shared" si="7"/>
        <v>0</v>
      </c>
    </row>
    <row r="102" spans="1:12" ht="43.5" customHeight="1" x14ac:dyDescent="0.25">
      <c r="A102" s="892" t="s">
        <v>403</v>
      </c>
      <c r="B102" s="896" t="s">
        <v>3163</v>
      </c>
      <c r="C102" s="883" t="s">
        <v>8</v>
      </c>
      <c r="D102" s="819"/>
      <c r="E102" s="890"/>
      <c r="F102" s="766" t="s">
        <v>3157</v>
      </c>
      <c r="G102" s="16"/>
      <c r="H102" s="806"/>
      <c r="I102" s="812" t="str">
        <f>IF(OR(E102&lt;0,E102&gt;E95),"Il valore deve essere maggiore o uguale a zero e minore o uguale a N*","")</f>
        <v/>
      </c>
      <c r="J102" s="16"/>
      <c r="K102" s="27"/>
      <c r="L102" s="27">
        <f t="shared" ref="L102" si="10">IF(I102="",0,1)</f>
        <v>0</v>
      </c>
    </row>
    <row r="103" spans="1:12" ht="78.75" customHeight="1" x14ac:dyDescent="0.25">
      <c r="A103" s="892" t="s">
        <v>2923</v>
      </c>
      <c r="B103" s="896" t="s">
        <v>3190</v>
      </c>
      <c r="C103" s="883" t="s">
        <v>8</v>
      </c>
      <c r="D103" s="819"/>
      <c r="E103" s="820"/>
      <c r="F103" s="650" t="s">
        <v>3191</v>
      </c>
      <c r="G103" s="16"/>
      <c r="H103" s="806"/>
      <c r="I103" s="811"/>
      <c r="J103" s="16"/>
      <c r="K103" s="27"/>
      <c r="L103" s="27">
        <f>IF(I103="",0,1)</f>
        <v>0</v>
      </c>
    </row>
    <row r="104" spans="1:12" ht="42.75" customHeight="1" x14ac:dyDescent="0.25">
      <c r="A104" s="892" t="s">
        <v>2924</v>
      </c>
      <c r="B104" s="897" t="s">
        <v>3164</v>
      </c>
      <c r="C104" s="883" t="s">
        <v>8</v>
      </c>
      <c r="D104" s="819"/>
      <c r="E104" s="820"/>
      <c r="F104" s="766" t="s">
        <v>3157</v>
      </c>
      <c r="G104" s="16"/>
      <c r="H104" s="806"/>
      <c r="I104" s="812" t="str">
        <f>IF(OR(E104&lt;0,E104&gt;E102,E104&gt;E103),"Il valore deve essere maggiore o uguale a zero e minore o uguale a N*Tab3 e a N*Tab3_N-P_RQTI","")</f>
        <v/>
      </c>
      <c r="J104" s="16"/>
      <c r="K104" s="27"/>
      <c r="L104" s="27">
        <f t="shared" ref="L104" si="11">IF(I104="",0,1)</f>
        <v>0</v>
      </c>
    </row>
    <row r="105" spans="1:12" ht="52.5" customHeight="1" x14ac:dyDescent="0.25">
      <c r="A105" s="892" t="s">
        <v>2925</v>
      </c>
      <c r="B105" s="896" t="s">
        <v>2850</v>
      </c>
      <c r="C105" s="883" t="s">
        <v>8</v>
      </c>
      <c r="D105" s="819"/>
      <c r="E105" s="820"/>
      <c r="F105" s="650" t="s">
        <v>2926</v>
      </c>
      <c r="G105" s="16"/>
      <c r="H105" s="806"/>
      <c r="I105" s="811"/>
      <c r="J105" s="16"/>
      <c r="K105" s="27"/>
      <c r="L105" s="27"/>
    </row>
    <row r="106" spans="1:12" ht="156" customHeight="1" x14ac:dyDescent="0.25">
      <c r="A106" s="898" t="s">
        <v>404</v>
      </c>
      <c r="B106" s="887" t="s">
        <v>3214</v>
      </c>
      <c r="C106" s="883" t="s">
        <v>8</v>
      </c>
      <c r="D106" s="819"/>
      <c r="E106" s="820"/>
      <c r="F106" s="650" t="s">
        <v>3220</v>
      </c>
      <c r="G106" s="79"/>
      <c r="H106" s="806"/>
      <c r="I106" s="812" t="str">
        <f>IF(E106&lt;0,"Il valore deve essere maggiore o uguale a zero","")</f>
        <v/>
      </c>
      <c r="J106" s="79"/>
      <c r="K106" s="27"/>
      <c r="L106" s="27">
        <f t="shared" si="7"/>
        <v>0</v>
      </c>
    </row>
    <row r="107" spans="1:12" ht="45" x14ac:dyDescent="0.25">
      <c r="A107" s="677" t="s">
        <v>2927</v>
      </c>
      <c r="B107" s="896" t="s">
        <v>2849</v>
      </c>
      <c r="C107" s="883" t="s">
        <v>8</v>
      </c>
      <c r="D107" s="819"/>
      <c r="E107" s="820"/>
      <c r="F107" s="650" t="s">
        <v>2811</v>
      </c>
      <c r="G107" s="79"/>
      <c r="H107" s="806"/>
      <c r="I107" s="812" t="str">
        <f>IF(OR(E107&lt;0,E107&gt;E106),"Il valore deve essere maggiore o uguale a zero e minore o uguale a ∑Cimp,DEP-tot","")</f>
        <v/>
      </c>
      <c r="J107" s="79"/>
      <c r="K107" s="27"/>
      <c r="L107" s="27">
        <f t="shared" ref="L107:L110" si="12">IF(I107="",0,1)</f>
        <v>0</v>
      </c>
    </row>
    <row r="108" spans="1:12" ht="45" x14ac:dyDescent="0.25">
      <c r="A108" s="677" t="s">
        <v>2928</v>
      </c>
      <c r="B108" s="896" t="s">
        <v>2608</v>
      </c>
      <c r="C108" s="883" t="s">
        <v>8</v>
      </c>
      <c r="D108" s="819"/>
      <c r="E108" s="820"/>
      <c r="F108" s="650" t="s">
        <v>2811</v>
      </c>
      <c r="G108" s="79"/>
      <c r="H108" s="806"/>
      <c r="I108" s="812" t="str">
        <f>IF(OR(E108&lt;0,E108&gt;E106),"Il valore deve essere maggiore o uguale a zero e minore o uguale a ∑Cimp,DEP-tot","")</f>
        <v/>
      </c>
      <c r="J108" s="79"/>
      <c r="K108" s="27"/>
      <c r="L108" s="27">
        <f t="shared" si="12"/>
        <v>0</v>
      </c>
    </row>
    <row r="109" spans="1:12" ht="71.25" customHeight="1" x14ac:dyDescent="0.25">
      <c r="A109" s="899" t="s">
        <v>3165</v>
      </c>
      <c r="B109" s="900" t="s">
        <v>3166</v>
      </c>
      <c r="C109" s="901" t="s">
        <v>8</v>
      </c>
      <c r="D109" s="819"/>
      <c r="E109" s="820"/>
      <c r="F109" s="766" t="s">
        <v>3225</v>
      </c>
      <c r="G109" s="79"/>
      <c r="H109" s="806"/>
      <c r="I109" s="812" t="str">
        <f>IF(OR(E109&lt;0,E109&gt;E106),"Il valore deve essere maggiore o uguale a zero e minore o uguale a ∑Cimp,DEP-tot","")</f>
        <v/>
      </c>
      <c r="J109" s="79"/>
      <c r="K109" s="27"/>
      <c r="L109" s="27">
        <f t="shared" si="12"/>
        <v>0</v>
      </c>
    </row>
    <row r="110" spans="1:12" ht="45.75" customHeight="1" x14ac:dyDescent="0.25">
      <c r="A110" s="899" t="s">
        <v>3120</v>
      </c>
      <c r="B110" s="900" t="s">
        <v>3192</v>
      </c>
      <c r="C110" s="901" t="s">
        <v>8</v>
      </c>
      <c r="D110" s="819"/>
      <c r="E110" s="820"/>
      <c r="F110" s="766" t="s">
        <v>3221</v>
      </c>
      <c r="G110" s="79"/>
      <c r="H110" s="806"/>
      <c r="I110" s="812" t="str">
        <f>IF(OR(E110&lt;0,E110&gt;E106),"Il valore deve essere maggiore o uguale a zero e minore o uguale a ∑Cimp,DEP-tot",IF(AND(E89&lt;&gt;"SI",E110&gt;0),"Attenzione: DerM6 è vuota",""))</f>
        <v/>
      </c>
      <c r="J110" s="79"/>
      <c r="K110" s="27"/>
      <c r="L110" s="27">
        <f t="shared" si="12"/>
        <v>0</v>
      </c>
    </row>
    <row r="111" spans="1:12" ht="171.75" customHeight="1" x14ac:dyDescent="0.25">
      <c r="A111" s="898" t="s">
        <v>405</v>
      </c>
      <c r="B111" s="887" t="s">
        <v>3215</v>
      </c>
      <c r="C111" s="883" t="s">
        <v>8</v>
      </c>
      <c r="D111" s="819"/>
      <c r="E111" s="820"/>
      <c r="F111" s="650" t="s">
        <v>3230</v>
      </c>
      <c r="G111" s="79"/>
      <c r="H111" s="806"/>
      <c r="I111" s="812" t="str">
        <f>IF(OR(E111&lt;0,AND(E95&gt;0,E111="")),"Il valore deve essere maggiore o uguale a zero",IF(E111&gt;E106,"Il valore deve essere maggiore o uguale a zero e minore o uguale a ∑Cimp,DEP-tot",""))</f>
        <v/>
      </c>
      <c r="J111" s="79"/>
      <c r="K111" s="27"/>
      <c r="L111" s="27">
        <f t="shared" si="7"/>
        <v>0</v>
      </c>
    </row>
    <row r="112" spans="1:12" ht="51" x14ac:dyDescent="0.25">
      <c r="A112" s="898" t="s">
        <v>406</v>
      </c>
      <c r="B112" s="882" t="s">
        <v>3168</v>
      </c>
      <c r="C112" s="883" t="s">
        <v>8</v>
      </c>
      <c r="D112" s="819"/>
      <c r="E112" s="820"/>
      <c r="F112" s="650" t="s">
        <v>3203</v>
      </c>
      <c r="G112" s="79"/>
      <c r="H112" s="989" t="str">
        <f>IF(OR(D112&lt;&gt;"",D113&lt;&gt;"",D114&lt;&gt;"",D115&lt;&gt;"",D116&lt;&gt;"",D117&lt;&gt;"",D118&lt;&gt;""),IF(OR(D112&lt;0,D113&lt;0,D114&lt;0,D115&lt;0,D116&lt;0,D117&lt;0,D118&lt;0,D118+D117+D116+D115+D114+D113+D112&lt;&gt;D111),"Ogni di cui deve essere maggiore o uguale a zero e la somma deve essere pari a ∑Cimp,DEP-cnc",""),"")</f>
        <v/>
      </c>
      <c r="I112" s="993" t="str">
        <f>IF(OR(E112&lt;&gt;"",E113&lt;&gt;"",E114&lt;&gt;"",E115&lt;&gt;"",E116&lt;&gt;"",E117&lt;&gt;"",E118&lt;&gt;"",E119&lt;&gt;"",E120&lt;&gt;""),IF(OR(E112&lt;0,E113&lt;0,E114&lt;0,E115&lt;0,E116&lt;0,E117&lt;0,E118&lt;0,E119&lt;0,E120&lt;0,E120+E119+E118+E117+E116+E115+E114+E113+E112&lt;&gt;E111),"Ogni di cui deve essere maggiore o uguale a zero e la somma deve essere pari a ∑Cimp,DEP-cnc",""),"")</f>
        <v/>
      </c>
      <c r="J112" s="79"/>
      <c r="K112" s="27"/>
      <c r="L112" s="27">
        <f t="shared" si="7"/>
        <v>0</v>
      </c>
    </row>
    <row r="113" spans="1:12" ht="72" customHeight="1" x14ac:dyDescent="0.25">
      <c r="A113" s="898" t="s">
        <v>407</v>
      </c>
      <c r="B113" s="882" t="s">
        <v>3169</v>
      </c>
      <c r="C113" s="883" t="s">
        <v>8</v>
      </c>
      <c r="D113" s="819"/>
      <c r="E113" s="820"/>
      <c r="F113" s="650" t="s">
        <v>3170</v>
      </c>
      <c r="G113" s="79"/>
      <c r="H113" s="989"/>
      <c r="I113" s="994"/>
      <c r="J113" s="79"/>
      <c r="K113" s="27"/>
      <c r="L113" s="27">
        <f t="shared" si="7"/>
        <v>0</v>
      </c>
    </row>
    <row r="114" spans="1:12" ht="106.5" customHeight="1" x14ac:dyDescent="0.25">
      <c r="A114" s="898" t="s">
        <v>408</v>
      </c>
      <c r="B114" s="882" t="s">
        <v>3171</v>
      </c>
      <c r="C114" s="883" t="s">
        <v>8</v>
      </c>
      <c r="D114" s="819"/>
      <c r="E114" s="820"/>
      <c r="F114" s="650" t="s">
        <v>3204</v>
      </c>
      <c r="G114" s="79"/>
      <c r="H114" s="989"/>
      <c r="I114" s="994"/>
      <c r="J114" s="79"/>
      <c r="K114" s="27"/>
      <c r="L114" s="27">
        <f t="shared" si="7"/>
        <v>0</v>
      </c>
    </row>
    <row r="115" spans="1:12" ht="34.5" customHeight="1" x14ac:dyDescent="0.25">
      <c r="A115" s="898" t="s">
        <v>409</v>
      </c>
      <c r="B115" s="882" t="s">
        <v>3172</v>
      </c>
      <c r="C115" s="883" t="s">
        <v>8</v>
      </c>
      <c r="D115" s="819"/>
      <c r="E115" s="820"/>
      <c r="F115" s="766" t="s">
        <v>3205</v>
      </c>
      <c r="G115" s="79"/>
      <c r="H115" s="989"/>
      <c r="I115" s="994"/>
      <c r="J115" s="79"/>
      <c r="K115" s="27"/>
      <c r="L115" s="27">
        <f t="shared" si="7"/>
        <v>0</v>
      </c>
    </row>
    <row r="116" spans="1:12" ht="68.25" customHeight="1" x14ac:dyDescent="0.25">
      <c r="A116" s="677" t="s">
        <v>2929</v>
      </c>
      <c r="B116" s="882" t="s">
        <v>3173</v>
      </c>
      <c r="C116" s="883" t="s">
        <v>8</v>
      </c>
      <c r="D116" s="819"/>
      <c r="E116" s="820"/>
      <c r="F116" s="650" t="s">
        <v>3206</v>
      </c>
      <c r="G116" s="79"/>
      <c r="H116" s="989"/>
      <c r="I116" s="994"/>
      <c r="J116" s="79"/>
      <c r="K116" s="27"/>
      <c r="L116" s="27">
        <f t="shared" ref="L116:L120" si="13">IF(I116="",0,1)</f>
        <v>0</v>
      </c>
    </row>
    <row r="117" spans="1:12" ht="80.25" customHeight="1" x14ac:dyDescent="0.25">
      <c r="A117" s="677" t="s">
        <v>2930</v>
      </c>
      <c r="B117" s="882" t="s">
        <v>3174</v>
      </c>
      <c r="C117" s="883" t="s">
        <v>8</v>
      </c>
      <c r="D117" s="819"/>
      <c r="E117" s="820"/>
      <c r="F117" s="650" t="s">
        <v>3207</v>
      </c>
      <c r="G117" s="79"/>
      <c r="H117" s="989"/>
      <c r="I117" s="994"/>
      <c r="J117" s="79"/>
      <c r="K117" s="27"/>
      <c r="L117" s="27">
        <f t="shared" si="13"/>
        <v>0</v>
      </c>
    </row>
    <row r="118" spans="1:12" ht="55.5" customHeight="1" x14ac:dyDescent="0.25">
      <c r="A118" s="677" t="s">
        <v>2931</v>
      </c>
      <c r="B118" s="882" t="s">
        <v>3175</v>
      </c>
      <c r="C118" s="883" t="s">
        <v>8</v>
      </c>
      <c r="D118" s="819"/>
      <c r="E118" s="820"/>
      <c r="F118" s="650" t="s">
        <v>3208</v>
      </c>
      <c r="G118" s="79"/>
      <c r="H118" s="990"/>
      <c r="I118" s="995"/>
      <c r="J118" s="79"/>
      <c r="K118" s="27"/>
      <c r="L118" s="27">
        <f t="shared" si="13"/>
        <v>0</v>
      </c>
    </row>
    <row r="119" spans="1:12" ht="45.75" customHeight="1" x14ac:dyDescent="0.25">
      <c r="A119" s="899" t="s">
        <v>3165</v>
      </c>
      <c r="B119" s="900" t="s">
        <v>3166</v>
      </c>
      <c r="C119" s="901" t="s">
        <v>8</v>
      </c>
      <c r="D119" s="819"/>
      <c r="E119" s="902">
        <f>E109</f>
        <v>0</v>
      </c>
      <c r="F119" s="766" t="s">
        <v>3227</v>
      </c>
      <c r="G119" s="79"/>
      <c r="H119" s="806"/>
      <c r="I119" s="995"/>
      <c r="J119" s="79"/>
      <c r="K119" s="27"/>
      <c r="L119" s="27">
        <f t="shared" si="13"/>
        <v>0</v>
      </c>
    </row>
    <row r="120" spans="1:12" ht="55.5" customHeight="1" x14ac:dyDescent="0.25">
      <c r="A120" s="899" t="s">
        <v>3120</v>
      </c>
      <c r="B120" s="900" t="s">
        <v>3167</v>
      </c>
      <c r="C120" s="901" t="s">
        <v>8</v>
      </c>
      <c r="D120" s="819"/>
      <c r="E120" s="902">
        <f>E110</f>
        <v>0</v>
      </c>
      <c r="F120" s="766" t="s">
        <v>3193</v>
      </c>
      <c r="G120" s="79"/>
      <c r="H120" s="806"/>
      <c r="I120" s="996"/>
      <c r="J120" s="79"/>
      <c r="K120" s="27"/>
      <c r="L120" s="27">
        <f t="shared" si="13"/>
        <v>0</v>
      </c>
    </row>
    <row r="121" spans="1:12" ht="92.25" customHeight="1" x14ac:dyDescent="0.25">
      <c r="A121" s="892" t="s">
        <v>2932</v>
      </c>
      <c r="B121" s="893" t="s">
        <v>2629</v>
      </c>
      <c r="C121" s="883" t="s">
        <v>8</v>
      </c>
      <c r="D121" s="819"/>
      <c r="E121" s="820"/>
      <c r="F121" s="766" t="s">
        <v>3211</v>
      </c>
      <c r="G121" s="79"/>
      <c r="H121" s="806"/>
      <c r="I121" s="812" t="str">
        <f>IF(E121&lt;0,"Il valore deve essere maggiore o uguale a zero","")</f>
        <v/>
      </c>
      <c r="J121" s="79"/>
      <c r="K121" s="27"/>
      <c r="L121" s="27">
        <f t="shared" ref="L121:L122" si="14">IF(I121="",0,1)</f>
        <v>0</v>
      </c>
    </row>
    <row r="122" spans="1:12" ht="30" customHeight="1" x14ac:dyDescent="0.25">
      <c r="A122" s="903" t="s">
        <v>410</v>
      </c>
      <c r="B122" s="904" t="s">
        <v>411</v>
      </c>
      <c r="C122" s="905" t="s">
        <v>4</v>
      </c>
      <c r="D122" s="906"/>
      <c r="E122" s="907" t="str">
        <f>IF(AND(E106&gt;0,E111&lt;=E106,E111&lt;&gt;"",E111&gt;=0),E111/E106,"")</f>
        <v/>
      </c>
      <c r="F122" s="650" t="s">
        <v>412</v>
      </c>
      <c r="G122" s="79"/>
      <c r="H122" s="806"/>
      <c r="I122" s="812" t="str">
        <f>IF(AND(E3="SI",E122=""),"Macro-indicatore non calcolabile","")</f>
        <v/>
      </c>
      <c r="J122" s="79"/>
      <c r="K122" s="27"/>
      <c r="L122" s="27">
        <f t="shared" si="14"/>
        <v>0</v>
      </c>
    </row>
    <row r="123" spans="1:12" ht="30" customHeight="1" x14ac:dyDescent="0.25">
      <c r="A123" s="908" t="s">
        <v>413</v>
      </c>
      <c r="B123" s="909" t="s">
        <v>414</v>
      </c>
      <c r="C123" s="910" t="s">
        <v>1</v>
      </c>
      <c r="D123" s="911"/>
      <c r="E123" s="705" t="str">
        <f>IF(E122="","",IF(E122&gt;=(15/100),"E",IF(E122&gt;=(10/100),"D",IF(E122&gt;=(5/100),"C",IF(E122&gt;=(1/100),"B","A")))))</f>
        <v/>
      </c>
      <c r="F123" s="650" t="s">
        <v>2603</v>
      </c>
      <c r="G123" s="79"/>
      <c r="H123" s="928"/>
      <c r="I123" s="813"/>
      <c r="J123" s="79"/>
      <c r="K123" s="27"/>
      <c r="L123" s="27">
        <f t="shared" si="7"/>
        <v>0</v>
      </c>
    </row>
    <row r="124" spans="1:12" ht="30" customHeight="1" x14ac:dyDescent="0.25">
      <c r="A124" s="908" t="s">
        <v>415</v>
      </c>
      <c r="B124" s="909" t="s">
        <v>416</v>
      </c>
      <c r="C124" s="910" t="s">
        <v>1</v>
      </c>
      <c r="D124" s="911"/>
      <c r="E124" s="705" t="str">
        <f>IF(E123="A","Mantenimento",IF(E123="B","-6% di M6",IF(E123="C","-10% di M6",IF(E123="D","-15% di M6",IF(E123="E","-20% di M6","")))))</f>
        <v/>
      </c>
      <c r="F124" s="650" t="s">
        <v>2603</v>
      </c>
      <c r="G124" s="79"/>
      <c r="H124" s="928"/>
      <c r="I124" s="813"/>
      <c r="J124" s="79"/>
      <c r="K124" s="27"/>
      <c r="L124" s="27">
        <f t="shared" si="7"/>
        <v>0</v>
      </c>
    </row>
    <row r="125" spans="1:12" ht="78" customHeight="1" x14ac:dyDescent="0.25">
      <c r="A125" s="677" t="s">
        <v>2933</v>
      </c>
      <c r="B125" s="887" t="s">
        <v>3216</v>
      </c>
      <c r="C125" s="883" t="s">
        <v>8</v>
      </c>
      <c r="D125" s="819"/>
      <c r="E125" s="820"/>
      <c r="F125" s="650" t="s">
        <v>2626</v>
      </c>
      <c r="G125" s="79"/>
      <c r="H125" s="806"/>
      <c r="I125" s="812" t="str">
        <f>IF(E125&lt;E106,"Il valore deve essere maggiore o uguale a ∑Cimp,DEP-tot","")</f>
        <v/>
      </c>
      <c r="J125" s="79"/>
      <c r="K125" s="27"/>
      <c r="L125" s="27">
        <f t="shared" si="7"/>
        <v>0</v>
      </c>
    </row>
    <row r="126" spans="1:12" ht="78" customHeight="1" x14ac:dyDescent="0.25">
      <c r="A126" s="677" t="s">
        <v>2934</v>
      </c>
      <c r="B126" s="887" t="s">
        <v>3217</v>
      </c>
      <c r="C126" s="883" t="s">
        <v>8</v>
      </c>
      <c r="D126" s="819"/>
      <c r="E126" s="820"/>
      <c r="F126" s="650" t="s">
        <v>2625</v>
      </c>
      <c r="G126" s="79"/>
      <c r="H126" s="806"/>
      <c r="I126" s="812" t="str">
        <f>IF(OR(E126&lt;0,AND(E95&gt;0,E126="")),"Il valore deve essere maggiore o uguale a zero",IF(E126&lt;E111,"Il valore deve essere maggiore o uguale a ∑Cimp,DEP-cnc",""))</f>
        <v/>
      </c>
      <c r="J126" s="79"/>
      <c r="K126" s="27"/>
      <c r="L126" s="27">
        <f t="shared" si="7"/>
        <v>0</v>
      </c>
    </row>
    <row r="127" spans="1:12" ht="30" customHeight="1" x14ac:dyDescent="0.25">
      <c r="A127" s="903" t="s">
        <v>417</v>
      </c>
      <c r="B127" s="912" t="s">
        <v>418</v>
      </c>
      <c r="C127" s="910" t="s">
        <v>4</v>
      </c>
      <c r="D127" s="913"/>
      <c r="E127" s="914" t="str">
        <f>IF(AND(E125&gt;0,E126&lt;=E125,E126&gt;=0,E126&lt;&gt;"",E125&gt;=E106,E126&gt;=E111),E126/E125,"")</f>
        <v/>
      </c>
      <c r="F127" s="650" t="s">
        <v>419</v>
      </c>
      <c r="G127" s="79"/>
      <c r="H127" s="928"/>
      <c r="I127" s="813"/>
      <c r="J127" s="79"/>
      <c r="K127" s="27"/>
      <c r="L127" s="27">
        <f t="shared" si="7"/>
        <v>0</v>
      </c>
    </row>
    <row r="128" spans="1:12" ht="45" customHeight="1" x14ac:dyDescent="0.25">
      <c r="A128" s="934" t="s">
        <v>420</v>
      </c>
      <c r="B128" s="935" t="s">
        <v>421</v>
      </c>
      <c r="C128" s="936" t="s">
        <v>8</v>
      </c>
      <c r="D128" s="894"/>
      <c r="E128" s="895" t="str">
        <f>IF(AND(E125&gt;0,E125&gt;=E106),E125-SUM(E109:E110),"")</f>
        <v/>
      </c>
      <c r="F128" s="650" t="s">
        <v>3194</v>
      </c>
      <c r="G128" s="79"/>
      <c r="H128" s="928"/>
      <c r="I128" s="813"/>
      <c r="J128" s="79"/>
      <c r="K128" s="27"/>
      <c r="L128" s="27">
        <f t="shared" si="7"/>
        <v>0</v>
      </c>
    </row>
    <row r="129" spans="1:12" ht="81" customHeight="1" x14ac:dyDescent="0.25">
      <c r="A129" s="898" t="s">
        <v>422</v>
      </c>
      <c r="B129" s="887" t="s">
        <v>3218</v>
      </c>
      <c r="C129" s="883" t="s">
        <v>8</v>
      </c>
      <c r="D129" s="819"/>
      <c r="E129" s="820"/>
      <c r="F129" s="925" t="s">
        <v>3212</v>
      </c>
      <c r="G129" s="79"/>
      <c r="H129" s="806"/>
      <c r="I129" s="812" t="str">
        <f>IF(E129&lt;0,"Il valore deve essere maggiore o uguale a zero",IF(E129&lt;E125,"Il valore deve essere maggiore o uguale a zero e maggiore o uguale a ∑Cimp,DEP-tot3",""))</f>
        <v/>
      </c>
      <c r="J129" s="79"/>
      <c r="K129" s="27"/>
      <c r="L129" s="27">
        <f t="shared" si="7"/>
        <v>0</v>
      </c>
    </row>
    <row r="130" spans="1:12" ht="81" customHeight="1" x14ac:dyDescent="0.25">
      <c r="A130" s="915" t="s">
        <v>423</v>
      </c>
      <c r="B130" s="937" t="s">
        <v>3219</v>
      </c>
      <c r="C130" s="304" t="s">
        <v>8</v>
      </c>
      <c r="D130" s="819"/>
      <c r="E130" s="820"/>
      <c r="F130" s="926" t="s">
        <v>3213</v>
      </c>
      <c r="G130" s="41"/>
      <c r="H130" s="806"/>
      <c r="I130" s="812" t="str">
        <f>IF(OR(E130&lt;0,AND(E95&gt;0,E130="")),"Il valore deve essere maggiore o uguale a zero",IF(E130&lt;E126,"Il valore deve essere maggiore o uguale a zero e maggiore o uguale a ∑Cimp,DEP-cnc3",""))</f>
        <v/>
      </c>
      <c r="J130" s="41"/>
      <c r="K130" s="27"/>
      <c r="L130" s="27">
        <f t="shared" si="7"/>
        <v>0</v>
      </c>
    </row>
    <row r="131" spans="1:12" ht="30" customHeight="1" x14ac:dyDescent="0.25">
      <c r="A131" s="903" t="s">
        <v>424</v>
      </c>
      <c r="B131" s="912" t="s">
        <v>425</v>
      </c>
      <c r="C131" s="910" t="s">
        <v>4</v>
      </c>
      <c r="D131" s="913"/>
      <c r="E131" s="914" t="str">
        <f>IF(AND(E129&gt;0,E130&lt;=E129,E130&gt;=0,E130&lt;&gt;""),E130/E129,"")</f>
        <v/>
      </c>
      <c r="F131" s="650" t="s">
        <v>426</v>
      </c>
      <c r="G131" s="41"/>
      <c r="H131" s="928"/>
      <c r="I131" s="931"/>
      <c r="J131" s="41"/>
      <c r="K131" s="27"/>
      <c r="L131" s="27">
        <f t="shared" si="7"/>
        <v>0</v>
      </c>
    </row>
    <row r="132" spans="1:12" ht="34.5" customHeight="1" x14ac:dyDescent="0.25">
      <c r="A132" s="892" t="s">
        <v>2844</v>
      </c>
      <c r="B132" s="893" t="s">
        <v>452</v>
      </c>
      <c r="C132" s="883" t="s">
        <v>52</v>
      </c>
      <c r="D132" s="819"/>
      <c r="E132" s="902">
        <f>E77</f>
        <v>0</v>
      </c>
      <c r="F132" s="650"/>
      <c r="G132" s="41"/>
      <c r="H132" s="806"/>
      <c r="I132" s="931"/>
      <c r="K132" s="27"/>
      <c r="L132" s="27">
        <f t="shared" ref="L132:L133" si="15">IF(I132="",0,1)</f>
        <v>0</v>
      </c>
    </row>
    <row r="133" spans="1:12" ht="51" x14ac:dyDescent="0.25">
      <c r="A133" s="892" t="s">
        <v>2935</v>
      </c>
      <c r="B133" s="882" t="s">
        <v>454</v>
      </c>
      <c r="C133" s="883" t="s">
        <v>52</v>
      </c>
      <c r="D133" s="819"/>
      <c r="E133" s="890"/>
      <c r="F133" s="926" t="s">
        <v>2886</v>
      </c>
      <c r="G133" s="41"/>
      <c r="H133" s="806"/>
      <c r="I133" s="932" t="str">
        <f>IF(OR(E133&lt;0,E133&gt;E132),"Il valore deve essere maggiore o uguale a zero e minore o uguale a W_DEP","")</f>
        <v/>
      </c>
      <c r="K133" s="27"/>
      <c r="L133" s="27">
        <f t="shared" si="15"/>
        <v>0</v>
      </c>
    </row>
    <row r="134" spans="1:12" ht="34.5" customHeight="1" x14ac:dyDescent="0.25">
      <c r="A134" s="892" t="s">
        <v>2936</v>
      </c>
      <c r="B134" s="882" t="s">
        <v>456</v>
      </c>
      <c r="C134" s="883" t="s">
        <v>52</v>
      </c>
      <c r="D134" s="819"/>
      <c r="E134" s="890"/>
      <c r="F134" s="926" t="s">
        <v>2887</v>
      </c>
      <c r="G134" s="41"/>
      <c r="H134" s="806"/>
      <c r="I134" s="812" t="str">
        <f>IF(OR(E134&lt;0,E134&gt;E133),"Il valore deve essere maggiore o uguale a zero e minore o uguale a W_DEP,r1","")</f>
        <v/>
      </c>
      <c r="K134" s="27"/>
      <c r="L134" s="27"/>
    </row>
    <row r="135" spans="1:12" ht="32.25" customHeight="1" x14ac:dyDescent="0.25">
      <c r="A135" s="908" t="s">
        <v>2604</v>
      </c>
      <c r="B135" s="909" t="s">
        <v>2605</v>
      </c>
      <c r="C135" s="916" t="s">
        <v>4</v>
      </c>
      <c r="D135" s="917"/>
      <c r="E135" s="918" t="str">
        <f>IF(E3="SI",IF(OR(AND(E134="",E132=""),AND(E134=0,E132=0)),"",E134/E132),"")</f>
        <v/>
      </c>
      <c r="F135" s="650" t="s">
        <v>2606</v>
      </c>
      <c r="G135" s="41"/>
      <c r="H135" s="806"/>
      <c r="I135" s="931"/>
      <c r="K135" s="27"/>
      <c r="L135" s="27"/>
    </row>
    <row r="136" spans="1:12" ht="32.25" customHeight="1" x14ac:dyDescent="0.25">
      <c r="A136" s="908" t="s">
        <v>2842</v>
      </c>
      <c r="B136" s="909" t="s">
        <v>2843</v>
      </c>
      <c r="C136" s="916" t="s">
        <v>4</v>
      </c>
      <c r="D136" s="917"/>
      <c r="E136" s="918" t="str">
        <f>IFERROR((E133-E134)/E133,"")</f>
        <v/>
      </c>
      <c r="F136" s="650" t="s">
        <v>2848</v>
      </c>
      <c r="G136" s="41"/>
      <c r="H136" s="806"/>
      <c r="I136" s="931"/>
      <c r="K136" s="27"/>
      <c r="L136" s="27">
        <f t="shared" ref="L136:L138" si="16">IF(I136="",0,1)</f>
        <v>0</v>
      </c>
    </row>
    <row r="137" spans="1:12" s="31" customFormat="1" ht="36" customHeight="1" x14ac:dyDescent="0.25">
      <c r="A137" s="774" t="s">
        <v>2937</v>
      </c>
      <c r="B137" s="885" t="s">
        <v>2607</v>
      </c>
      <c r="C137" s="919" t="s">
        <v>8</v>
      </c>
      <c r="D137" s="920"/>
      <c r="E137" s="921"/>
      <c r="F137" s="804" t="s">
        <v>2630</v>
      </c>
      <c r="G137" s="41"/>
      <c r="H137" s="806"/>
      <c r="I137" s="812" t="str">
        <f>IF(AND(E3&lt;&gt;"SI",E137&lt;&gt;""),"Non risulta gestito il servizio di depurazione",IF(E137&lt;0,"Il valore deve essere maggiore o uguale a zero",""))</f>
        <v/>
      </c>
      <c r="J137" s="19"/>
      <c r="K137" s="27"/>
      <c r="L137" s="27">
        <f t="shared" si="16"/>
        <v>0</v>
      </c>
    </row>
    <row r="138" spans="1:12" ht="45" x14ac:dyDescent="0.25">
      <c r="A138" s="774" t="s">
        <v>2938</v>
      </c>
      <c r="B138" s="885" t="s">
        <v>3179</v>
      </c>
      <c r="C138" s="919" t="s">
        <v>8</v>
      </c>
      <c r="D138" s="920"/>
      <c r="E138" s="921"/>
      <c r="F138" s="804" t="s">
        <v>2572</v>
      </c>
      <c r="G138" s="41"/>
      <c r="H138" s="806"/>
      <c r="I138" s="812" t="str">
        <f>IF(E3="SI",IF(OR(E138&lt;0,E138="",E138&gt;E36),"Il valore deve essere maggiore o uguale a zero e minore o uguale ad Agg_tot",""),IF(E138&lt;&gt;0,"Non risulta gestito il servizio di depurazione",""))</f>
        <v/>
      </c>
      <c r="K138" s="27"/>
      <c r="L138" s="27">
        <f t="shared" si="16"/>
        <v>0</v>
      </c>
    </row>
    <row r="139" spans="1:12" ht="60.75" thickBot="1" x14ac:dyDescent="0.3">
      <c r="A139" s="774" t="s">
        <v>2939</v>
      </c>
      <c r="B139" s="885" t="s">
        <v>3180</v>
      </c>
      <c r="C139" s="884" t="s">
        <v>3</v>
      </c>
      <c r="D139" s="886"/>
      <c r="E139" s="921"/>
      <c r="F139" s="804" t="s">
        <v>2572</v>
      </c>
      <c r="G139" s="41"/>
      <c r="H139" s="929"/>
      <c r="I139" s="812" t="str">
        <f>IF(E3="SI",IF(OR(E139&lt;0,E139=""),"Il valore deve essere maggiore o uguale a zero",""),IF(E139&lt;&gt;0,"Non risulta gestito il servizio di depurazione",""))</f>
        <v/>
      </c>
      <c r="K139" s="27"/>
      <c r="L139" s="27">
        <f t="shared" ref="L139" si="17">IF(I139="",0,1)</f>
        <v>0</v>
      </c>
    </row>
    <row r="140" spans="1:12" ht="77.25" thickBot="1" x14ac:dyDescent="0.3">
      <c r="A140" s="922" t="s">
        <v>3177</v>
      </c>
      <c r="B140" s="887" t="s">
        <v>3181</v>
      </c>
      <c r="C140" s="923" t="s">
        <v>8</v>
      </c>
      <c r="D140" s="886"/>
      <c r="E140" s="921"/>
      <c r="F140" s="927" t="s">
        <v>3209</v>
      </c>
      <c r="G140" s="41"/>
      <c r="H140" s="929"/>
      <c r="I140" s="812" t="str">
        <f>IF(AND(E3="SI",E89="SI",OR(E140&lt;0,E140="",E140&gt;E95)),"Il valore deve essere maggiore o uguale a zero e minore o uguale a N*","")</f>
        <v/>
      </c>
      <c r="K140" s="27"/>
      <c r="L140" s="27">
        <f t="shared" ref="L140:L144" si="18">IF(I140="",0,1)</f>
        <v>0</v>
      </c>
    </row>
    <row r="141" spans="1:12" ht="48" customHeight="1" thickBot="1" x14ac:dyDescent="0.3">
      <c r="A141" s="922" t="s">
        <v>3178</v>
      </c>
      <c r="B141" s="887" t="s">
        <v>3183</v>
      </c>
      <c r="C141" s="888" t="s">
        <v>3</v>
      </c>
      <c r="D141" s="886"/>
      <c r="E141" s="921"/>
      <c r="F141" s="927" t="s">
        <v>3199</v>
      </c>
      <c r="G141" s="41"/>
      <c r="H141" s="929"/>
      <c r="I141" s="812" t="str">
        <f>IF(AND(E3="SI",E89="SI",OR(E141&lt;0,E141="",E141&gt;E8)),"Il valore deve essere maggiore o uguale a zero e minore o uguale a Car_dep","")</f>
        <v/>
      </c>
      <c r="K141" s="27"/>
      <c r="L141" s="27">
        <f t="shared" si="18"/>
        <v>0</v>
      </c>
    </row>
    <row r="142" spans="1:12" ht="48" customHeight="1" thickBot="1" x14ac:dyDescent="0.3">
      <c r="A142" s="922" t="s">
        <v>3200</v>
      </c>
      <c r="B142" s="887" t="s">
        <v>3195</v>
      </c>
      <c r="C142" s="888" t="s">
        <v>172</v>
      </c>
      <c r="D142" s="886"/>
      <c r="E142" s="921"/>
      <c r="F142" s="927" t="s">
        <v>3197</v>
      </c>
      <c r="G142" s="41"/>
      <c r="H142" s="929"/>
      <c r="I142" s="812" t="str">
        <f>IF(AND(E3="SI",E89="SI",OR(E142&lt;0,E142="")),"Il valore deve essere maggiore o uguale a zero","")</f>
        <v/>
      </c>
      <c r="K142" s="27"/>
      <c r="L142" s="27">
        <f t="shared" si="18"/>
        <v>0</v>
      </c>
    </row>
    <row r="143" spans="1:12" ht="60" customHeight="1" thickBot="1" x14ac:dyDescent="0.3">
      <c r="A143" s="922" t="s">
        <v>3196</v>
      </c>
      <c r="B143" s="887" t="s">
        <v>3198</v>
      </c>
      <c r="C143" s="888" t="s">
        <v>3</v>
      </c>
      <c r="D143" s="886"/>
      <c r="E143" s="921"/>
      <c r="F143" s="927" t="s">
        <v>3210</v>
      </c>
      <c r="G143" s="41"/>
      <c r="H143" s="929"/>
      <c r="I143" s="812" t="str">
        <f>IF(AND(E3="SI",E89="SI",OR(E143&lt;0,E143="")),"Il valore deve essere maggiore o uguale a zero","")</f>
        <v/>
      </c>
      <c r="K143" s="27"/>
      <c r="L143" s="27">
        <f t="shared" si="18"/>
        <v>0</v>
      </c>
    </row>
    <row r="144" spans="1:12" ht="36.75" customHeight="1" thickBot="1" x14ac:dyDescent="0.3">
      <c r="A144" s="942" t="s">
        <v>3152</v>
      </c>
      <c r="B144" s="943" t="s">
        <v>3222</v>
      </c>
      <c r="C144" s="944" t="s">
        <v>4</v>
      </c>
      <c r="D144" s="945"/>
      <c r="E144" s="946" t="str">
        <f>IFERROR(E143/E8,"")</f>
        <v/>
      </c>
      <c r="F144" s="947" t="s">
        <v>3201</v>
      </c>
      <c r="G144" s="41"/>
      <c r="H144" s="929"/>
      <c r="I144" s="948" t="str">
        <f>IF(AND(E3="SI",E89="SI",OR(E144&lt;0,E144="")),"Il valore deve essere maggiore o uguale a zero","")</f>
        <v/>
      </c>
      <c r="K144" s="27"/>
      <c r="L144" s="27">
        <f t="shared" si="18"/>
        <v>0</v>
      </c>
    </row>
    <row r="145" spans="1:9" ht="51" customHeight="1" x14ac:dyDescent="0.25">
      <c r="A145" s="922" t="s">
        <v>3229</v>
      </c>
      <c r="B145" s="887" t="s">
        <v>3228</v>
      </c>
      <c r="C145" s="949" t="s">
        <v>1</v>
      </c>
      <c r="D145" s="790"/>
      <c r="E145" s="817"/>
      <c r="F145" s="927"/>
      <c r="I145" s="931"/>
    </row>
    <row r="150" spans="1:9" x14ac:dyDescent="0.25">
      <c r="B150" s="56" t="s">
        <v>469</v>
      </c>
    </row>
    <row r="151" spans="1:9" x14ac:dyDescent="0.25">
      <c r="B151" s="57" t="s">
        <v>470</v>
      </c>
    </row>
    <row r="152" spans="1:9" x14ac:dyDescent="0.25">
      <c r="B152" s="56"/>
    </row>
    <row r="153" spans="1:9" x14ac:dyDescent="0.25">
      <c r="B153" s="57" t="s">
        <v>0</v>
      </c>
    </row>
    <row r="154" spans="1:9" x14ac:dyDescent="0.25">
      <c r="B154" s="100" t="s">
        <v>5</v>
      </c>
    </row>
    <row r="155" spans="1:9" x14ac:dyDescent="0.25">
      <c r="B155" s="101" t="s">
        <v>6</v>
      </c>
    </row>
    <row r="156" spans="1:9" x14ac:dyDescent="0.25">
      <c r="B156" s="57" t="s">
        <v>627</v>
      </c>
    </row>
    <row r="157" spans="1:9" x14ac:dyDescent="0.25">
      <c r="B157" s="58" t="s">
        <v>5</v>
      </c>
    </row>
    <row r="158" spans="1:9" x14ac:dyDescent="0.25">
      <c r="B158" s="59" t="s">
        <v>6</v>
      </c>
    </row>
    <row r="233" spans="2:2" x14ac:dyDescent="0.25">
      <c r="B233" s="82"/>
    </row>
  </sheetData>
  <sheetProtection algorithmName="SHA-512" hashValue="002Ucm1iC27r0SFbd1P52Z2P+OsaLK9UBLgtx/n3yLMKMXlgRTCxxkuI2Vd+b9+cmmo8X80tWXpmXkDVUYXRIA==" saltValue="iZbNo2yZnwoATNIe0xfxPg==" spinCount="100000" sheet="1" objects="1" scenarios="1"/>
  <mergeCells count="16">
    <mergeCell ref="H42:H43"/>
    <mergeCell ref="I42:I43"/>
    <mergeCell ref="H112:H118"/>
    <mergeCell ref="H60:H64"/>
    <mergeCell ref="I60:I64"/>
    <mergeCell ref="H66:H69"/>
    <mergeCell ref="I66:I69"/>
    <mergeCell ref="H74:H76"/>
    <mergeCell ref="I74:I76"/>
    <mergeCell ref="I112:I120"/>
    <mergeCell ref="H9:H10"/>
    <mergeCell ref="I9:I10"/>
    <mergeCell ref="H23:H24"/>
    <mergeCell ref="I23:I24"/>
    <mergeCell ref="H25:H29"/>
    <mergeCell ref="I25:I29"/>
  </mergeCells>
  <conditionalFormatting sqref="L2">
    <cfRule type="cellIs" dxfId="21" priority="1" operator="lessThanOrEqual">
      <formula>0</formula>
    </cfRule>
    <cfRule type="cellIs" dxfId="20" priority="2" operator="greaterThan">
      <formula>0</formula>
    </cfRule>
  </conditionalFormatting>
  <dataValidations count="4">
    <dataValidation type="list" allowBlank="1" showInputMessage="1" showErrorMessage="1" sqref="D18:E18 D85:E85" xr:uid="{92CF36C7-9B46-4B6D-B393-BFF9A719C3A0}">
      <formula1>$B$150:$B$151</formula1>
    </dataValidation>
    <dataValidation type="list" allowBlank="1" showInputMessage="1" showErrorMessage="1" sqref="E3 D87:E89 D145:E145" xr:uid="{7AF85CE9-23B5-4E67-9D25-CBAEDA496B67}">
      <formula1>$B$157:$B$158</formula1>
    </dataValidation>
    <dataValidation type="list" allowBlank="1" showInputMessage="1" showErrorMessage="1" sqref="E19 E86" xr:uid="{771710B8-F661-419C-B31A-3CA41B18B233}">
      <formula1>$B$152:$B$153</formula1>
    </dataValidation>
    <dataValidation type="list" allowBlank="1" showInputMessage="1" showErrorMessage="1" sqref="E47" xr:uid="{671B0F92-6E31-4F69-B18B-0F6A986BE13C}">
      <formula1>$B$154:$B$156</formula1>
    </dataValidation>
  </dataValidations>
  <pageMargins left="0.23622047244094491" right="0.23622047244094491" top="0.47244094488188981" bottom="0.47244094488188981" header="0.31496062992125984" footer="0.31496062992125984"/>
  <pageSetup paperSize="8" scale="4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7C2EA-D11F-4DCE-868B-D7E6E5E53B13}">
  <sheetPr>
    <tabColor theme="3" tint="0.79998168889431442"/>
    <pageSetUpPr fitToPage="1"/>
  </sheetPr>
  <dimension ref="A1:T191"/>
  <sheetViews>
    <sheetView showGridLines="0" zoomScale="80" zoomScaleNormal="80" workbookViewId="0">
      <pane xSplit="3" ySplit="2" topLeftCell="D3" activePane="bottomRight" state="frozen"/>
      <selection activeCell="B4" sqref="B4"/>
      <selection pane="topRight" activeCell="B4" sqref="B4"/>
      <selection pane="bottomLeft" activeCell="B4" sqref="B4"/>
      <selection pane="bottomRight"/>
    </sheetView>
  </sheetViews>
  <sheetFormatPr defaultColWidth="8.85546875" defaultRowHeight="15" x14ac:dyDescent="0.25"/>
  <cols>
    <col min="1" max="1" width="12.85546875" customWidth="1"/>
    <col min="2" max="2" width="50.85546875" style="50" customWidth="1"/>
    <col min="3" max="3" width="9.85546875" customWidth="1"/>
    <col min="4" max="5" width="14.85546875" customWidth="1"/>
    <col min="6" max="6" width="50.85546875" style="19" customWidth="1"/>
    <col min="7" max="7" width="14.7109375" style="19" customWidth="1"/>
    <col min="8" max="8" width="15.28515625" style="19" customWidth="1"/>
    <col min="9" max="9" width="25.85546875" style="19" customWidth="1"/>
    <col min="10" max="10" width="20.42578125" style="19" customWidth="1"/>
    <col min="11" max="11" width="20.85546875" style="38" hidden="1" customWidth="1"/>
    <col min="12" max="12" width="20.85546875" style="38" customWidth="1"/>
  </cols>
  <sheetData>
    <row r="1" spans="1:12" ht="69.95" customHeight="1" thickBot="1" x14ac:dyDescent="0.3">
      <c r="A1" s="16"/>
      <c r="B1" s="17" t="s">
        <v>2346</v>
      </c>
      <c r="C1" s="16"/>
      <c r="D1" s="18"/>
      <c r="E1" s="18"/>
      <c r="K1" s="509"/>
      <c r="L1" s="210" t="s">
        <v>3089</v>
      </c>
    </row>
    <row r="2" spans="1:12" ht="70.349999999999994" customHeight="1" thickBot="1" x14ac:dyDescent="0.3">
      <c r="A2" s="20" t="s">
        <v>41</v>
      </c>
      <c r="B2" s="21" t="s">
        <v>42</v>
      </c>
      <c r="C2" s="186" t="s">
        <v>7</v>
      </c>
      <c r="D2" s="428"/>
      <c r="E2" s="188" t="s">
        <v>3087</v>
      </c>
      <c r="F2" s="187" t="s">
        <v>9</v>
      </c>
      <c r="H2" s="656"/>
      <c r="I2" s="676" t="s">
        <v>3088</v>
      </c>
      <c r="K2" s="510"/>
      <c r="L2" s="211">
        <f>SUM(L3:L177)+SUM(K161:K176)</f>
        <v>0</v>
      </c>
    </row>
    <row r="3" spans="1:12" s="31" customFormat="1" ht="10.35" customHeight="1" x14ac:dyDescent="0.25">
      <c r="A3" s="28"/>
      <c r="B3" s="29"/>
      <c r="C3" s="28"/>
      <c r="D3" s="28"/>
      <c r="E3" s="28"/>
      <c r="F3" s="136"/>
      <c r="G3" s="19"/>
      <c r="H3" s="657"/>
      <c r="I3" s="30"/>
      <c r="J3" s="19"/>
      <c r="K3" s="27"/>
      <c r="L3" s="27">
        <f t="shared" ref="L3:L34" si="0">IF(I3="",0,1)</f>
        <v>0</v>
      </c>
    </row>
    <row r="4" spans="1:12" s="31" customFormat="1" ht="17.25" customHeight="1" thickBot="1" x14ac:dyDescent="0.3">
      <c r="A4" s="32" t="s">
        <v>2805</v>
      </c>
      <c r="B4" s="29"/>
      <c r="C4" s="28"/>
      <c r="F4" s="319"/>
      <c r="G4" s="19"/>
      <c r="H4" s="657"/>
      <c r="I4" s="30"/>
      <c r="J4" s="19"/>
      <c r="K4" s="27"/>
      <c r="L4" s="27">
        <f t="shared" si="0"/>
        <v>0</v>
      </c>
    </row>
    <row r="5" spans="1:12" s="31" customFormat="1" ht="46.5" customHeight="1" x14ac:dyDescent="0.25">
      <c r="A5" s="246" t="s">
        <v>2381</v>
      </c>
      <c r="B5" s="247" t="s">
        <v>1616</v>
      </c>
      <c r="C5" s="281" t="s">
        <v>8</v>
      </c>
      <c r="D5" s="429"/>
      <c r="E5" s="193"/>
      <c r="F5" s="190" t="s">
        <v>1615</v>
      </c>
      <c r="G5" s="19"/>
      <c r="H5" s="658"/>
      <c r="I5" s="665" t="str">
        <f>IF(OR(E5&lt;0,E5&gt;'QT-Acquedotto'!E111),"Il valore deve essere maggiore o uguale a zero e minore o uguale a ∑US1","")</f>
        <v/>
      </c>
      <c r="J5" s="19"/>
      <c r="K5" s="27"/>
      <c r="L5" s="27">
        <f t="shared" si="0"/>
        <v>0</v>
      </c>
    </row>
    <row r="6" spans="1:12" s="31" customFormat="1" ht="43.5" customHeight="1" x14ac:dyDescent="0.25">
      <c r="A6" s="242" t="s">
        <v>2382</v>
      </c>
      <c r="B6" s="151" t="s">
        <v>1617</v>
      </c>
      <c r="C6" s="189" t="s">
        <v>8</v>
      </c>
      <c r="D6" s="430"/>
      <c r="E6" s="341"/>
      <c r="F6" s="191" t="s">
        <v>1615</v>
      </c>
      <c r="G6" s="19"/>
      <c r="H6" s="658"/>
      <c r="I6" s="666" t="str">
        <f>IF(OR(E6&lt;0,E6&gt;'QT-Acquedotto'!E112),"Il valore deve essere maggiore o uguale a zero e minore o uguale a ∑US2","")</f>
        <v/>
      </c>
      <c r="J6" s="19"/>
      <c r="K6" s="27"/>
      <c r="L6" s="27">
        <f t="shared" si="0"/>
        <v>0</v>
      </c>
    </row>
    <row r="7" spans="1:12" s="31" customFormat="1" ht="43.5" customHeight="1" x14ac:dyDescent="0.25">
      <c r="A7" s="242" t="s">
        <v>2383</v>
      </c>
      <c r="B7" s="151" t="s">
        <v>1618</v>
      </c>
      <c r="C7" s="189" t="s">
        <v>8</v>
      </c>
      <c r="D7" s="430"/>
      <c r="E7" s="341"/>
      <c r="F7" s="191" t="s">
        <v>1615</v>
      </c>
      <c r="G7" s="19"/>
      <c r="H7" s="658"/>
      <c r="I7" s="666" t="str">
        <f>IF(OR(E7&lt;0,E7&gt;'QT-Acquedotto'!E113),"Il valore deve essere maggiore o uguale a zero e minore o uguale a ∑US3","")</f>
        <v/>
      </c>
      <c r="J7" s="19"/>
      <c r="K7" s="27"/>
      <c r="L7" s="27">
        <f t="shared" si="0"/>
        <v>0</v>
      </c>
    </row>
    <row r="8" spans="1:12" s="31" customFormat="1" ht="63" customHeight="1" x14ac:dyDescent="0.25">
      <c r="A8" s="242" t="s">
        <v>2384</v>
      </c>
      <c r="B8" s="151" t="s">
        <v>619</v>
      </c>
      <c r="C8" s="189" t="s">
        <v>573</v>
      </c>
      <c r="D8" s="430"/>
      <c r="E8" s="341"/>
      <c r="F8" s="191" t="s">
        <v>615</v>
      </c>
      <c r="G8" s="19"/>
      <c r="H8" s="658"/>
      <c r="I8" s="666" t="str">
        <f>IF(E8&lt;0,"Il valore deve essere maggiore o uguale a zero","")</f>
        <v/>
      </c>
      <c r="J8" s="19"/>
      <c r="K8" s="27"/>
      <c r="L8" s="27">
        <f t="shared" si="0"/>
        <v>0</v>
      </c>
    </row>
    <row r="9" spans="1:12" s="31" customFormat="1" ht="65.25" customHeight="1" x14ac:dyDescent="0.25">
      <c r="A9" s="242" t="s">
        <v>2385</v>
      </c>
      <c r="B9" s="151" t="s">
        <v>620</v>
      </c>
      <c r="C9" s="189" t="s">
        <v>573</v>
      </c>
      <c r="D9" s="430"/>
      <c r="E9" s="341"/>
      <c r="F9" s="191" t="s">
        <v>615</v>
      </c>
      <c r="G9" s="19"/>
      <c r="H9" s="658"/>
      <c r="I9" s="666" t="str">
        <f>IF(E9&lt;0,"Il valore deve essere maggiore o uguale a zero","")</f>
        <v/>
      </c>
      <c r="J9" s="19"/>
      <c r="K9" s="27"/>
      <c r="L9" s="27">
        <f t="shared" si="0"/>
        <v>0</v>
      </c>
    </row>
    <row r="10" spans="1:12" s="31" customFormat="1" ht="46.35" customHeight="1" thickBot="1" x14ac:dyDescent="0.3">
      <c r="A10" s="248" t="s">
        <v>618</v>
      </c>
      <c r="B10" s="88" t="s">
        <v>626</v>
      </c>
      <c r="C10" s="333" t="s">
        <v>1</v>
      </c>
      <c r="D10" s="431"/>
      <c r="E10" s="338"/>
      <c r="F10" s="192" t="s">
        <v>1607</v>
      </c>
      <c r="G10" s="19"/>
      <c r="H10" s="659"/>
      <c r="I10" s="667"/>
      <c r="J10" s="19"/>
      <c r="K10" s="27"/>
      <c r="L10" s="27">
        <f t="shared" si="0"/>
        <v>0</v>
      </c>
    </row>
    <row r="11" spans="1:12" s="31" customFormat="1" ht="10.35" customHeight="1" x14ac:dyDescent="0.25">
      <c r="A11" s="28"/>
      <c r="B11" s="29"/>
      <c r="C11" s="28"/>
      <c r="D11" s="28"/>
      <c r="E11" s="28"/>
      <c r="F11" s="136"/>
      <c r="G11" s="19"/>
      <c r="H11" s="657"/>
      <c r="I11" s="30"/>
      <c r="J11" s="19"/>
      <c r="K11" s="27"/>
      <c r="L11" s="27">
        <f t="shared" si="0"/>
        <v>0</v>
      </c>
    </row>
    <row r="12" spans="1:12" s="31" customFormat="1" ht="17.25" customHeight="1" thickBot="1" x14ac:dyDescent="0.3">
      <c r="A12" s="32" t="s">
        <v>2344</v>
      </c>
      <c r="B12" s="29"/>
      <c r="C12" s="28"/>
      <c r="D12" s="28"/>
      <c r="E12" s="28"/>
      <c r="F12" s="136"/>
      <c r="G12" s="19"/>
      <c r="H12" s="657"/>
      <c r="I12" s="30"/>
      <c r="J12" s="19"/>
      <c r="K12" s="27"/>
      <c r="L12" s="27">
        <f t="shared" si="0"/>
        <v>0</v>
      </c>
    </row>
    <row r="13" spans="1:12" s="31" customFormat="1" ht="32.1" customHeight="1" x14ac:dyDescent="0.25">
      <c r="A13" s="47" t="s">
        <v>100</v>
      </c>
      <c r="B13" s="40" t="s">
        <v>101</v>
      </c>
      <c r="C13" s="194" t="s">
        <v>8</v>
      </c>
      <c r="D13" s="432"/>
      <c r="E13" s="198">
        <f>'QT-Acquedotto'!E80</f>
        <v>0</v>
      </c>
      <c r="F13" s="190"/>
      <c r="G13" s="19"/>
      <c r="H13" s="657"/>
      <c r="I13" s="668"/>
      <c r="J13" s="19"/>
      <c r="K13" s="27"/>
      <c r="L13" s="27">
        <f t="shared" si="0"/>
        <v>0</v>
      </c>
    </row>
    <row r="14" spans="1:12" ht="31.7" customHeight="1" x14ac:dyDescent="0.25">
      <c r="A14" s="145" t="s">
        <v>478</v>
      </c>
      <c r="B14" s="108" t="s">
        <v>205</v>
      </c>
      <c r="C14" s="195" t="s">
        <v>8</v>
      </c>
      <c r="D14" s="430"/>
      <c r="E14" s="341"/>
      <c r="F14" s="191" t="s">
        <v>514</v>
      </c>
      <c r="H14" s="658"/>
      <c r="I14" s="666" t="str">
        <f>IF(OR(E14&lt;0,E14&gt;E13),"Il valore deve essere maggiore o uguale a zero e minore o uguale a UtT","")</f>
        <v/>
      </c>
      <c r="K14" s="27"/>
      <c r="L14" s="27">
        <f t="shared" si="0"/>
        <v>0</v>
      </c>
    </row>
    <row r="15" spans="1:12" ht="25.35" customHeight="1" x14ac:dyDescent="0.25">
      <c r="A15" s="145" t="s">
        <v>479</v>
      </c>
      <c r="B15" s="106" t="s">
        <v>464</v>
      </c>
      <c r="C15" s="195" t="s">
        <v>8</v>
      </c>
      <c r="D15" s="430"/>
      <c r="E15" s="341"/>
      <c r="F15" s="191" t="s">
        <v>514</v>
      </c>
      <c r="H15" s="1009"/>
      <c r="I15" s="1000" t="str">
        <f>IF(OR(E15&lt;&gt;"",E16&lt;&gt;"",E17&lt;&gt;""),IF(OR(E15&lt;0,E16&lt;0,E17&lt;0,E15+E16+E17&lt;&gt;E14),"Ogni di cui deve essere maggiore o uguale a zero e la somma deve essere pari a UtTmis",""),"")</f>
        <v/>
      </c>
      <c r="K15" s="27"/>
      <c r="L15" s="27">
        <f t="shared" si="0"/>
        <v>0</v>
      </c>
    </row>
    <row r="16" spans="1:12" ht="25.35" customHeight="1" x14ac:dyDescent="0.25">
      <c r="A16" s="145" t="s">
        <v>480</v>
      </c>
      <c r="B16" s="106" t="s">
        <v>465</v>
      </c>
      <c r="C16" s="195" t="s">
        <v>8</v>
      </c>
      <c r="D16" s="430"/>
      <c r="E16" s="341"/>
      <c r="F16" s="191" t="s">
        <v>514</v>
      </c>
      <c r="H16" s="1009"/>
      <c r="I16" s="1000"/>
      <c r="K16" s="27"/>
      <c r="L16" s="27">
        <f t="shared" si="0"/>
        <v>0</v>
      </c>
    </row>
    <row r="17" spans="1:12" ht="25.35" customHeight="1" x14ac:dyDescent="0.25">
      <c r="A17" s="141" t="s">
        <v>481</v>
      </c>
      <c r="B17" s="114" t="s">
        <v>466</v>
      </c>
      <c r="C17" s="195" t="s">
        <v>8</v>
      </c>
      <c r="D17" s="430"/>
      <c r="E17" s="341"/>
      <c r="F17" s="191" t="s">
        <v>514</v>
      </c>
      <c r="H17" s="1009"/>
      <c r="I17" s="1000"/>
      <c r="K17" s="27"/>
      <c r="L17" s="27">
        <f t="shared" si="0"/>
        <v>0</v>
      </c>
    </row>
    <row r="18" spans="1:12" ht="44.85" customHeight="1" x14ac:dyDescent="0.25">
      <c r="A18" s="242" t="s">
        <v>598</v>
      </c>
      <c r="B18" s="241" t="s">
        <v>2438</v>
      </c>
      <c r="C18" s="195" t="s">
        <v>8</v>
      </c>
      <c r="D18" s="430"/>
      <c r="E18" s="341"/>
      <c r="F18" s="191" t="s">
        <v>2425</v>
      </c>
      <c r="H18" s="658"/>
      <c r="I18" s="666" t="str">
        <f>IF(OR(E18&lt;0,E18&gt;E14),"Il valore deve essere maggiore o uguale a zero e minore o uguale a UtT_mis","")</f>
        <v/>
      </c>
      <c r="K18" s="27"/>
      <c r="L18" s="27">
        <f t="shared" si="0"/>
        <v>0</v>
      </c>
    </row>
    <row r="19" spans="1:12" ht="25.5" x14ac:dyDescent="0.25">
      <c r="A19" s="242" t="s">
        <v>2386</v>
      </c>
      <c r="B19" s="126" t="s">
        <v>2332</v>
      </c>
      <c r="C19" s="195" t="s">
        <v>8</v>
      </c>
      <c r="D19" s="430"/>
      <c r="E19" s="341"/>
      <c r="F19" s="191" t="s">
        <v>612</v>
      </c>
      <c r="H19" s="658"/>
      <c r="I19" s="666" t="str">
        <f>IF(OR(E19&lt;0,E19&gt;E18),"Il valore deve essere maggiore o uguale a zero e minore o uguale a UtT_mis_sm","")</f>
        <v/>
      </c>
      <c r="K19" s="27"/>
      <c r="L19" s="27">
        <f t="shared" si="0"/>
        <v>0</v>
      </c>
    </row>
    <row r="20" spans="1:12" s="31" customFormat="1" ht="32.1" customHeight="1" x14ac:dyDescent="0.25">
      <c r="A20" s="145" t="s">
        <v>482</v>
      </c>
      <c r="B20" s="108" t="s">
        <v>206</v>
      </c>
      <c r="C20" s="195" t="s">
        <v>8</v>
      </c>
      <c r="D20" s="430"/>
      <c r="E20" s="341"/>
      <c r="F20" s="191" t="s">
        <v>514</v>
      </c>
      <c r="G20" s="19"/>
      <c r="H20" s="658"/>
      <c r="I20" s="666" t="str">
        <f>IF(OR(E20&lt;0,E20&gt;(E13-E14)),"Il valore deve essere maggiore o uguale a zero e minore o uguale a UtT-UtT_mis","")</f>
        <v/>
      </c>
      <c r="J20" s="19"/>
      <c r="K20" s="27"/>
      <c r="L20" s="27">
        <f t="shared" si="0"/>
        <v>0</v>
      </c>
    </row>
    <row r="21" spans="1:12" s="31" customFormat="1" ht="32.1" customHeight="1" x14ac:dyDescent="0.25">
      <c r="A21" s="157" t="s">
        <v>478</v>
      </c>
      <c r="B21" s="115" t="s">
        <v>205</v>
      </c>
      <c r="C21" s="195" t="s">
        <v>8</v>
      </c>
      <c r="D21" s="433"/>
      <c r="E21" s="403">
        <f>E14</f>
        <v>0</v>
      </c>
      <c r="F21" s="191" t="s">
        <v>514</v>
      </c>
      <c r="G21" s="19"/>
      <c r="H21" s="657"/>
      <c r="I21" s="669"/>
      <c r="J21" s="19"/>
      <c r="K21" s="27"/>
      <c r="L21" s="27">
        <f t="shared" si="0"/>
        <v>0</v>
      </c>
    </row>
    <row r="22" spans="1:12" s="31" customFormat="1" ht="30" customHeight="1" x14ac:dyDescent="0.25">
      <c r="A22" s="157" t="s">
        <v>510</v>
      </c>
      <c r="B22" s="116" t="s">
        <v>511</v>
      </c>
      <c r="C22" s="195" t="s">
        <v>8</v>
      </c>
      <c r="D22" s="430"/>
      <c r="E22" s="341"/>
      <c r="F22" s="191" t="s">
        <v>514</v>
      </c>
      <c r="G22" s="19"/>
      <c r="H22" s="1009"/>
      <c r="I22" s="1000" t="str">
        <f>IF(OR(E22&lt;&gt;"",E23&lt;&gt;""),IF(OR(E22&lt;0,E23&lt;0,E23+E22&lt;&gt;E21),"Ogni di cui deve essere maggiore o uguale a zero e la somma deve essere pari a UtTmis",""),"")</f>
        <v/>
      </c>
      <c r="J22" s="19"/>
      <c r="K22" s="27"/>
      <c r="L22" s="27">
        <f t="shared" si="0"/>
        <v>0</v>
      </c>
    </row>
    <row r="23" spans="1:12" s="31" customFormat="1" ht="30" customHeight="1" x14ac:dyDescent="0.25">
      <c r="A23" s="157" t="s">
        <v>512</v>
      </c>
      <c r="B23" s="116" t="s">
        <v>513</v>
      </c>
      <c r="C23" s="195" t="s">
        <v>8</v>
      </c>
      <c r="D23" s="430"/>
      <c r="E23" s="341"/>
      <c r="F23" s="191" t="s">
        <v>514</v>
      </c>
      <c r="G23" s="19"/>
      <c r="H23" s="1009"/>
      <c r="I23" s="1000"/>
      <c r="J23" s="19"/>
      <c r="K23" s="27"/>
      <c r="L23" s="27">
        <f t="shared" si="0"/>
        <v>0</v>
      </c>
    </row>
    <row r="24" spans="1:12" s="31" customFormat="1" ht="42" customHeight="1" x14ac:dyDescent="0.25">
      <c r="A24" s="145" t="s">
        <v>483</v>
      </c>
      <c r="B24" s="108" t="s">
        <v>587</v>
      </c>
      <c r="C24" s="195" t="s">
        <v>8</v>
      </c>
      <c r="D24" s="430"/>
      <c r="E24" s="341"/>
      <c r="F24" s="191" t="s">
        <v>2616</v>
      </c>
      <c r="G24" s="19"/>
      <c r="H24" s="658"/>
      <c r="I24" s="666" t="str">
        <f>IF(E24&lt;0,"Il valore deve essere maggiore o uguale a zero","")</f>
        <v/>
      </c>
      <c r="J24" s="19"/>
      <c r="K24" s="27"/>
      <c r="L24" s="27">
        <f t="shared" si="0"/>
        <v>0</v>
      </c>
    </row>
    <row r="25" spans="1:12" s="31" customFormat="1" ht="25.35" customHeight="1" x14ac:dyDescent="0.25">
      <c r="A25" s="145" t="s">
        <v>484</v>
      </c>
      <c r="B25" s="106" t="s">
        <v>467</v>
      </c>
      <c r="C25" s="195" t="s">
        <v>8</v>
      </c>
      <c r="D25" s="430"/>
      <c r="E25" s="341"/>
      <c r="F25" s="191" t="s">
        <v>514</v>
      </c>
      <c r="G25" s="19"/>
      <c r="H25" s="658"/>
      <c r="I25" s="666" t="str">
        <f>IF(OR(E25&lt;0,E25&gt;E24),"Il valore deve essere maggiore o uguale a zero e minore o uguale di Racc_3000","")</f>
        <v/>
      </c>
      <c r="J25" s="19"/>
      <c r="K25" s="27"/>
      <c r="L25" s="27">
        <f t="shared" si="0"/>
        <v>0</v>
      </c>
    </row>
    <row r="26" spans="1:12" s="31" customFormat="1" ht="25.35" customHeight="1" x14ac:dyDescent="0.25">
      <c r="A26" s="145" t="s">
        <v>485</v>
      </c>
      <c r="B26" s="106" t="s">
        <v>468</v>
      </c>
      <c r="C26" s="195" t="s">
        <v>8</v>
      </c>
      <c r="D26" s="430"/>
      <c r="E26" s="341"/>
      <c r="F26" s="191" t="s">
        <v>514</v>
      </c>
      <c r="G26" s="19"/>
      <c r="H26" s="658"/>
      <c r="I26" s="666" t="str">
        <f>IF(OR(E26&lt;0,E26&gt;E24),"Il valore deve essere maggiore o uguale a zero e minore o uguale di Racc_3000","")</f>
        <v/>
      </c>
      <c r="J26" s="19"/>
      <c r="K26" s="27"/>
      <c r="L26" s="27">
        <f t="shared" si="0"/>
        <v>0</v>
      </c>
    </row>
    <row r="27" spans="1:12" s="31" customFormat="1" ht="45" customHeight="1" x14ac:dyDescent="0.25">
      <c r="A27" s="145" t="s">
        <v>486</v>
      </c>
      <c r="B27" s="108" t="s">
        <v>584</v>
      </c>
      <c r="C27" s="195" t="s">
        <v>8</v>
      </c>
      <c r="D27" s="430"/>
      <c r="E27" s="341"/>
      <c r="F27" s="191" t="s">
        <v>2617</v>
      </c>
      <c r="G27" s="19"/>
      <c r="H27" s="658"/>
      <c r="I27" s="666" t="str">
        <f>IF(E27&lt;0,"Il valore deve essere maggiore o uguale a zero","")</f>
        <v/>
      </c>
      <c r="J27" s="19"/>
      <c r="K27" s="27"/>
      <c r="L27" s="27">
        <f t="shared" si="0"/>
        <v>0</v>
      </c>
    </row>
    <row r="28" spans="1:12" s="31" customFormat="1" ht="25.35" customHeight="1" x14ac:dyDescent="0.25">
      <c r="A28" s="145" t="s">
        <v>487</v>
      </c>
      <c r="B28" s="106" t="s">
        <v>468</v>
      </c>
      <c r="C28" s="195" t="s">
        <v>8</v>
      </c>
      <c r="D28" s="430"/>
      <c r="E28" s="341"/>
      <c r="F28" s="191" t="s">
        <v>514</v>
      </c>
      <c r="G28" s="19"/>
      <c r="H28" s="658"/>
      <c r="I28" s="666" t="str">
        <f>IF(OR(E28&lt;0,E28&gt;E27),"Il valore deve essere maggiore o uguale a zero e minore o uguale di Al_3000","")</f>
        <v/>
      </c>
      <c r="J28" s="19"/>
      <c r="K28" s="27"/>
      <c r="L28" s="27">
        <f t="shared" si="0"/>
        <v>0</v>
      </c>
    </row>
    <row r="29" spans="1:12" s="31" customFormat="1" ht="39" customHeight="1" x14ac:dyDescent="0.25">
      <c r="A29" s="145" t="s">
        <v>488</v>
      </c>
      <c r="B29" s="108" t="s">
        <v>586</v>
      </c>
      <c r="C29" s="195" t="s">
        <v>8</v>
      </c>
      <c r="D29" s="430"/>
      <c r="E29" s="341"/>
      <c r="F29" s="191" t="s">
        <v>2616</v>
      </c>
      <c r="G29" s="19"/>
      <c r="H29" s="658"/>
      <c r="I29" s="666" t="str">
        <f>IF(E29&lt;0,"Il valore deve essere maggiore o uguale a zero","")</f>
        <v/>
      </c>
      <c r="J29" s="19"/>
      <c r="K29" s="27"/>
      <c r="L29" s="27">
        <f t="shared" si="0"/>
        <v>0</v>
      </c>
    </row>
    <row r="30" spans="1:12" s="31" customFormat="1" ht="25.35" customHeight="1" x14ac:dyDescent="0.25">
      <c r="A30" s="145" t="s">
        <v>489</v>
      </c>
      <c r="B30" s="106" t="s">
        <v>467</v>
      </c>
      <c r="C30" s="195" t="s">
        <v>8</v>
      </c>
      <c r="D30" s="430"/>
      <c r="E30" s="341"/>
      <c r="F30" s="191" t="s">
        <v>514</v>
      </c>
      <c r="G30" s="19"/>
      <c r="H30" s="658"/>
      <c r="I30" s="666" t="str">
        <f>IF(OR(E30&lt;0,E30&gt;E29),"Il valore deve essere maggiore o uguale a zero e minore o uguale di Racc_3000+","")</f>
        <v/>
      </c>
      <c r="J30" s="19"/>
      <c r="K30" s="27"/>
      <c r="L30" s="27">
        <f t="shared" si="0"/>
        <v>0</v>
      </c>
    </row>
    <row r="31" spans="1:12" s="31" customFormat="1" ht="25.35" customHeight="1" x14ac:dyDescent="0.25">
      <c r="A31" s="145" t="s">
        <v>490</v>
      </c>
      <c r="B31" s="106" t="s">
        <v>468</v>
      </c>
      <c r="C31" s="195" t="s">
        <v>8</v>
      </c>
      <c r="D31" s="430"/>
      <c r="E31" s="341"/>
      <c r="F31" s="191" t="s">
        <v>514</v>
      </c>
      <c r="G31" s="19"/>
      <c r="H31" s="658"/>
      <c r="I31" s="666" t="str">
        <f>IF(OR(E31&lt;0,E31&gt;E29),"Il valore deve essere maggiore o uguale a zero e minore o uguale di Racc_3000+","")</f>
        <v/>
      </c>
      <c r="J31" s="19"/>
      <c r="K31" s="27"/>
      <c r="L31" s="27">
        <f t="shared" si="0"/>
        <v>0</v>
      </c>
    </row>
    <row r="32" spans="1:12" s="31" customFormat="1" ht="42.6" customHeight="1" x14ac:dyDescent="0.25">
      <c r="A32" s="145" t="s">
        <v>491</v>
      </c>
      <c r="B32" s="108" t="s">
        <v>585</v>
      </c>
      <c r="C32" s="195" t="s">
        <v>8</v>
      </c>
      <c r="D32" s="430"/>
      <c r="E32" s="341"/>
      <c r="F32" s="191" t="s">
        <v>2618</v>
      </c>
      <c r="G32" s="19"/>
      <c r="H32" s="658"/>
      <c r="I32" s="666" t="str">
        <f>IF(E32&lt;0,"Il valore deve essere maggiore o uguale a zero","")</f>
        <v/>
      </c>
      <c r="J32" s="19"/>
      <c r="K32" s="27"/>
      <c r="L32" s="27">
        <f t="shared" si="0"/>
        <v>0</v>
      </c>
    </row>
    <row r="33" spans="1:12" s="31" customFormat="1" ht="25.35" customHeight="1" x14ac:dyDescent="0.25">
      <c r="A33" s="145" t="s">
        <v>492</v>
      </c>
      <c r="B33" s="106" t="s">
        <v>468</v>
      </c>
      <c r="C33" s="195" t="s">
        <v>8</v>
      </c>
      <c r="D33" s="430"/>
      <c r="E33" s="341"/>
      <c r="F33" s="191" t="s">
        <v>514</v>
      </c>
      <c r="G33" s="19"/>
      <c r="H33" s="658"/>
      <c r="I33" s="666" t="str">
        <f>IF(OR(E33&lt;0,E33&gt;E32),"Il valore deve essere maggiore o uguale a zero e minore o uguale di Al_3000+","")</f>
        <v/>
      </c>
      <c r="J33" s="19"/>
      <c r="K33" s="27"/>
      <c r="L33" s="27">
        <f t="shared" si="0"/>
        <v>0</v>
      </c>
    </row>
    <row r="34" spans="1:12" s="31" customFormat="1" ht="30" customHeight="1" x14ac:dyDescent="0.25">
      <c r="A34" s="157" t="s">
        <v>493</v>
      </c>
      <c r="B34" s="115" t="s">
        <v>207</v>
      </c>
      <c r="C34" s="401" t="s">
        <v>8</v>
      </c>
      <c r="D34" s="430"/>
      <c r="E34" s="341"/>
      <c r="F34" s="191" t="s">
        <v>589</v>
      </c>
      <c r="G34" s="19"/>
      <c r="H34" s="658"/>
      <c r="I34" s="666" t="str">
        <f>IF(E34&lt;0,"Il valore deve essere maggiore o uguale a zero","")</f>
        <v/>
      </c>
      <c r="J34" s="19"/>
      <c r="K34" s="27"/>
      <c r="L34" s="27">
        <f t="shared" si="0"/>
        <v>0</v>
      </c>
    </row>
    <row r="35" spans="1:12" s="31" customFormat="1" ht="25.35" customHeight="1" x14ac:dyDescent="0.25">
      <c r="A35" s="157" t="s">
        <v>494</v>
      </c>
      <c r="B35" s="158" t="s">
        <v>208</v>
      </c>
      <c r="C35" s="401" t="s">
        <v>8</v>
      </c>
      <c r="D35" s="430"/>
      <c r="E35" s="341"/>
      <c r="F35" s="191"/>
      <c r="G35" s="19"/>
      <c r="H35" s="660"/>
      <c r="I35" s="1002" t="str">
        <f>IF(OR(E35&lt;&gt;"",E36&lt;&gt;"",E37&lt;&gt;"",E38&lt;&gt;""),IF(OR(E35&lt;0,E36&lt;0,E37&lt;0,E38&lt;0,E35+E36+E37+E38&lt;&gt;E34),"Ogni di cui deve essere maggiore o uguale a zero e la somma deve essere pari a Mis_ut",""),"")</f>
        <v/>
      </c>
      <c r="J35" s="19"/>
      <c r="K35" s="27"/>
      <c r="L35" s="27">
        <f t="shared" ref="L35:L74" si="1">IF(I35="",0,1)</f>
        <v>0</v>
      </c>
    </row>
    <row r="36" spans="1:12" s="31" customFormat="1" ht="25.35" customHeight="1" x14ac:dyDescent="0.25">
      <c r="A36" s="157" t="s">
        <v>495</v>
      </c>
      <c r="B36" s="158" t="s">
        <v>209</v>
      </c>
      <c r="C36" s="401" t="s">
        <v>8</v>
      </c>
      <c r="D36" s="430"/>
      <c r="E36" s="341"/>
      <c r="F36" s="191"/>
      <c r="G36" s="19"/>
      <c r="H36" s="660"/>
      <c r="I36" s="1002"/>
      <c r="J36" s="19"/>
      <c r="K36" s="27"/>
      <c r="L36" s="27">
        <f t="shared" si="1"/>
        <v>0</v>
      </c>
    </row>
    <row r="37" spans="1:12" s="31" customFormat="1" ht="25.35" customHeight="1" x14ac:dyDescent="0.25">
      <c r="A37" s="157" t="s">
        <v>496</v>
      </c>
      <c r="B37" s="158" t="s">
        <v>210</v>
      </c>
      <c r="C37" s="401" t="s">
        <v>8</v>
      </c>
      <c r="D37" s="430"/>
      <c r="E37" s="341"/>
      <c r="F37" s="191"/>
      <c r="G37" s="19"/>
      <c r="H37" s="660"/>
      <c r="I37" s="1002"/>
      <c r="J37" s="19"/>
      <c r="K37" s="27"/>
      <c r="L37" s="27">
        <f t="shared" si="1"/>
        <v>0</v>
      </c>
    </row>
    <row r="38" spans="1:12" s="31" customFormat="1" ht="25.35" customHeight="1" x14ac:dyDescent="0.25">
      <c r="A38" s="157" t="s">
        <v>497</v>
      </c>
      <c r="B38" s="158" t="s">
        <v>211</v>
      </c>
      <c r="C38" s="401" t="s">
        <v>8</v>
      </c>
      <c r="D38" s="430"/>
      <c r="E38" s="341"/>
      <c r="F38" s="191"/>
      <c r="G38" s="19"/>
      <c r="H38" s="660"/>
      <c r="I38" s="1002"/>
      <c r="J38" s="19"/>
      <c r="K38" s="27"/>
      <c r="L38" s="27">
        <f t="shared" si="1"/>
        <v>0</v>
      </c>
    </row>
    <row r="39" spans="1:12" s="31" customFormat="1" ht="30" customHeight="1" x14ac:dyDescent="0.25">
      <c r="A39" s="145" t="s">
        <v>493</v>
      </c>
      <c r="B39" s="105" t="s">
        <v>207</v>
      </c>
      <c r="C39" s="195" t="s">
        <v>8</v>
      </c>
      <c r="D39" s="434"/>
      <c r="E39" s="343">
        <f>E34</f>
        <v>0</v>
      </c>
      <c r="F39" s="191"/>
      <c r="G39" s="19"/>
      <c r="H39" s="660"/>
      <c r="I39" s="671"/>
      <c r="J39" s="19"/>
      <c r="K39" s="27"/>
      <c r="L39" s="27">
        <f t="shared" si="1"/>
        <v>0</v>
      </c>
    </row>
    <row r="40" spans="1:12" s="31" customFormat="1" ht="25.35" customHeight="1" x14ac:dyDescent="0.25">
      <c r="A40" s="145" t="s">
        <v>498</v>
      </c>
      <c r="B40" s="117" t="s">
        <v>212</v>
      </c>
      <c r="C40" s="195" t="s">
        <v>8</v>
      </c>
      <c r="D40" s="430"/>
      <c r="E40" s="341"/>
      <c r="F40" s="196"/>
      <c r="G40" s="19"/>
      <c r="H40" s="1001"/>
      <c r="I40" s="1002" t="str">
        <f>IF(OR(E40&lt;0,E41&lt;0,(E40+E41)&gt;E39),"Ogni di cui deve essere maggiore o uguale a zero e la somma deve essere minore o uguale a Mis_ut","")</f>
        <v/>
      </c>
      <c r="J40" s="19"/>
      <c r="K40" s="27"/>
      <c r="L40" s="27">
        <f t="shared" si="1"/>
        <v>0</v>
      </c>
    </row>
    <row r="41" spans="1:12" s="31" customFormat="1" ht="25.35" customHeight="1" thickBot="1" x14ac:dyDescent="0.3">
      <c r="A41" s="159" t="s">
        <v>499</v>
      </c>
      <c r="B41" s="160" t="s">
        <v>213</v>
      </c>
      <c r="C41" s="402" t="s">
        <v>8</v>
      </c>
      <c r="D41" s="435"/>
      <c r="E41" s="354"/>
      <c r="F41" s="197"/>
      <c r="G41" s="19"/>
      <c r="H41" s="1001"/>
      <c r="I41" s="1006"/>
      <c r="J41" s="19"/>
      <c r="K41" s="27"/>
      <c r="L41" s="27">
        <f t="shared" si="1"/>
        <v>0</v>
      </c>
    </row>
    <row r="42" spans="1:12" s="31" customFormat="1" ht="10.35" customHeight="1" x14ac:dyDescent="0.25">
      <c r="A42" s="28"/>
      <c r="B42" s="29"/>
      <c r="C42" s="28"/>
      <c r="D42" s="28"/>
      <c r="E42" s="28"/>
      <c r="F42" s="136"/>
      <c r="G42" s="19"/>
      <c r="H42" s="657"/>
      <c r="I42" s="30"/>
      <c r="J42" s="19"/>
      <c r="K42" s="27"/>
      <c r="L42" s="27">
        <f t="shared" ref="L42:L48" si="2">IF(I42="",0,1)</f>
        <v>0</v>
      </c>
    </row>
    <row r="43" spans="1:12" ht="18" thickBot="1" x14ac:dyDescent="0.3">
      <c r="A43" s="32" t="s">
        <v>2806</v>
      </c>
      <c r="K43" s="27"/>
      <c r="L43" s="27">
        <f t="shared" si="2"/>
        <v>0</v>
      </c>
    </row>
    <row r="44" spans="1:12" ht="45" customHeight="1" x14ac:dyDescent="0.25">
      <c r="A44" s="246" t="s">
        <v>2610</v>
      </c>
      <c r="B44" s="247" t="s">
        <v>2377</v>
      </c>
      <c r="C44" s="281" t="s">
        <v>8</v>
      </c>
      <c r="D44" s="436"/>
      <c r="E44" s="229"/>
      <c r="F44" s="190"/>
      <c r="H44" s="658"/>
      <c r="I44" s="665" t="str">
        <f t="shared" ref="I44:I48" si="3">IF(E44&lt;0,"Il valore deve essere maggiore o uguale a zero","")</f>
        <v/>
      </c>
      <c r="K44" s="27"/>
      <c r="L44" s="27">
        <f t="shared" si="2"/>
        <v>0</v>
      </c>
    </row>
    <row r="45" spans="1:12" ht="46.5" customHeight="1" x14ac:dyDescent="0.25">
      <c r="A45" s="242" t="s">
        <v>2611</v>
      </c>
      <c r="B45" s="151" t="s">
        <v>2378</v>
      </c>
      <c r="C45" s="189" t="s">
        <v>8</v>
      </c>
      <c r="D45" s="437"/>
      <c r="E45" s="961"/>
      <c r="F45" s="191"/>
      <c r="H45" s="658"/>
      <c r="I45" s="666" t="str">
        <f t="shared" si="3"/>
        <v/>
      </c>
      <c r="K45" s="27"/>
      <c r="L45" s="27">
        <f t="shared" si="2"/>
        <v>0</v>
      </c>
    </row>
    <row r="46" spans="1:12" ht="44.25" customHeight="1" x14ac:dyDescent="0.25">
      <c r="A46" s="242" t="s">
        <v>2612</v>
      </c>
      <c r="B46" s="151" t="s">
        <v>2810</v>
      </c>
      <c r="C46" s="189" t="s">
        <v>8</v>
      </c>
      <c r="D46" s="437"/>
      <c r="E46" s="961"/>
      <c r="F46" s="191"/>
      <c r="H46" s="658"/>
      <c r="I46" s="666" t="str">
        <f t="shared" si="3"/>
        <v/>
      </c>
      <c r="K46" s="27"/>
      <c r="L46" s="27">
        <f t="shared" si="2"/>
        <v>0</v>
      </c>
    </row>
    <row r="47" spans="1:12" ht="60" x14ac:dyDescent="0.25">
      <c r="A47" s="242" t="s">
        <v>2613</v>
      </c>
      <c r="B47" s="151" t="s">
        <v>2379</v>
      </c>
      <c r="C47" s="189" t="s">
        <v>573</v>
      </c>
      <c r="D47" s="437"/>
      <c r="E47" s="961"/>
      <c r="F47" s="191"/>
      <c r="H47" s="658"/>
      <c r="I47" s="666" t="str">
        <f t="shared" si="3"/>
        <v/>
      </c>
      <c r="K47" s="27"/>
      <c r="L47" s="27">
        <f t="shared" si="2"/>
        <v>0</v>
      </c>
    </row>
    <row r="48" spans="1:12" ht="60.75" thickBot="1" x14ac:dyDescent="0.3">
      <c r="A48" s="255" t="s">
        <v>2614</v>
      </c>
      <c r="B48" s="306" t="s">
        <v>2380</v>
      </c>
      <c r="C48" s="353" t="s">
        <v>573</v>
      </c>
      <c r="D48" s="438"/>
      <c r="E48" s="962"/>
      <c r="F48" s="340"/>
      <c r="H48" s="658"/>
      <c r="I48" s="672" t="str">
        <f t="shared" si="3"/>
        <v/>
      </c>
      <c r="K48" s="27"/>
      <c r="L48" s="27">
        <f t="shared" si="2"/>
        <v>0</v>
      </c>
    </row>
    <row r="49" spans="1:12" s="31" customFormat="1" ht="10.5" customHeight="1" x14ac:dyDescent="0.25">
      <c r="A49" s="72"/>
      <c r="B49" s="73"/>
      <c r="C49" s="74"/>
      <c r="D49" s="75"/>
      <c r="E49" s="75"/>
      <c r="F49" s="76"/>
      <c r="G49" s="66"/>
      <c r="H49" s="659"/>
      <c r="I49" s="77"/>
      <c r="J49" s="66"/>
      <c r="K49" s="27"/>
      <c r="L49" s="27">
        <f t="shared" ref="L49" si="4">IF(I49="",0,1)</f>
        <v>0</v>
      </c>
    </row>
    <row r="50" spans="1:12" s="31" customFormat="1" ht="18" thickBot="1" x14ac:dyDescent="0.3">
      <c r="A50" s="32" t="s">
        <v>2340</v>
      </c>
      <c r="B50" s="29"/>
      <c r="C50" s="28"/>
      <c r="D50" s="28"/>
      <c r="E50" s="28"/>
      <c r="F50" s="136"/>
      <c r="G50" s="19"/>
      <c r="H50" s="657"/>
      <c r="I50" s="30"/>
      <c r="J50" s="19"/>
      <c r="K50" s="27"/>
      <c r="L50" s="27">
        <f t="shared" si="1"/>
        <v>0</v>
      </c>
    </row>
    <row r="51" spans="1:12" ht="32.1" customHeight="1" x14ac:dyDescent="0.25">
      <c r="A51" s="246" t="s">
        <v>540</v>
      </c>
      <c r="B51" s="34" t="s">
        <v>530</v>
      </c>
      <c r="C51" s="194" t="s">
        <v>8</v>
      </c>
      <c r="D51" s="429"/>
      <c r="E51" s="193"/>
      <c r="F51" s="201" t="s">
        <v>597</v>
      </c>
      <c r="H51" s="658"/>
      <c r="I51" s="665" t="str">
        <f>IF(E51&lt;0,"Il valore deve essere maggiore o uguale a zero","")</f>
        <v/>
      </c>
      <c r="K51" s="27"/>
      <c r="L51" s="27">
        <f t="shared" si="1"/>
        <v>0</v>
      </c>
    </row>
    <row r="52" spans="1:12" ht="32.1" customHeight="1" x14ac:dyDescent="0.25">
      <c r="A52" s="242" t="s">
        <v>549</v>
      </c>
      <c r="B52" s="86" t="s">
        <v>548</v>
      </c>
      <c r="C52" s="195" t="s">
        <v>8</v>
      </c>
      <c r="D52" s="439"/>
      <c r="E52" s="381"/>
      <c r="F52" s="202" t="s">
        <v>547</v>
      </c>
      <c r="H52" s="658"/>
      <c r="I52" s="666" t="str">
        <f>IF(E52&lt;0,"Il valore deve essere maggiore o uguale a zero","")</f>
        <v/>
      </c>
      <c r="K52" s="27"/>
      <c r="L52" s="27">
        <f t="shared" si="1"/>
        <v>0</v>
      </c>
    </row>
    <row r="53" spans="1:12" s="42" customFormat="1" ht="30.75" customHeight="1" x14ac:dyDescent="0.25">
      <c r="A53" s="242" t="s">
        <v>541</v>
      </c>
      <c r="B53" s="241" t="s">
        <v>2343</v>
      </c>
      <c r="C53" s="195" t="s">
        <v>52</v>
      </c>
      <c r="D53" s="434"/>
      <c r="E53" s="343">
        <f>'QT-Acquedotto'!E30</f>
        <v>0</v>
      </c>
      <c r="F53" s="203"/>
      <c r="G53" s="41"/>
      <c r="H53" s="658"/>
      <c r="I53" s="666"/>
      <c r="J53" s="41"/>
      <c r="K53" s="27"/>
      <c r="L53" s="27">
        <f t="shared" si="1"/>
        <v>0</v>
      </c>
    </row>
    <row r="54" spans="1:12" s="42" customFormat="1" ht="21.95" customHeight="1" x14ac:dyDescent="0.25">
      <c r="A54" s="242" t="s">
        <v>2387</v>
      </c>
      <c r="B54" s="249" t="s">
        <v>532</v>
      </c>
      <c r="C54" s="195" t="s">
        <v>52</v>
      </c>
      <c r="D54" s="430"/>
      <c r="E54" s="341"/>
      <c r="F54" s="203"/>
      <c r="G54" s="41"/>
      <c r="H54" s="658"/>
      <c r="I54" s="1000" t="str">
        <f>IF(OR(E54&lt;0,E55&lt;0,E56&lt;0,E57&lt;0,E54+E55+E56+E57&lt;&gt;E53),"Ogni di cui deve essere maggiore o uguale a zero e la somma deve essere pari a WAM","")</f>
        <v/>
      </c>
      <c r="J54" s="41"/>
      <c r="K54" s="27"/>
      <c r="L54" s="27">
        <f t="shared" si="1"/>
        <v>0</v>
      </c>
    </row>
    <row r="55" spans="1:12" s="42" customFormat="1" ht="21.95" customHeight="1" x14ac:dyDescent="0.25">
      <c r="A55" s="242" t="s">
        <v>2388</v>
      </c>
      <c r="B55" s="249" t="s">
        <v>533</v>
      </c>
      <c r="C55" s="195" t="s">
        <v>52</v>
      </c>
      <c r="D55" s="430"/>
      <c r="E55" s="341"/>
      <c r="F55" s="203"/>
      <c r="G55" s="41"/>
      <c r="H55" s="658"/>
      <c r="I55" s="1000"/>
      <c r="J55" s="41"/>
      <c r="K55" s="27"/>
      <c r="L55" s="27">
        <f t="shared" si="1"/>
        <v>0</v>
      </c>
    </row>
    <row r="56" spans="1:12" s="42" customFormat="1" ht="21.95" customHeight="1" x14ac:dyDescent="0.25">
      <c r="A56" s="242" t="s">
        <v>2389</v>
      </c>
      <c r="B56" s="249" t="s">
        <v>534</v>
      </c>
      <c r="C56" s="195" t="s">
        <v>52</v>
      </c>
      <c r="D56" s="430"/>
      <c r="E56" s="341"/>
      <c r="F56" s="203"/>
      <c r="G56" s="41"/>
      <c r="H56" s="658"/>
      <c r="I56" s="1000"/>
      <c r="J56" s="41"/>
      <c r="K56" s="27"/>
      <c r="L56" s="27">
        <f t="shared" si="1"/>
        <v>0</v>
      </c>
    </row>
    <row r="57" spans="1:12" s="42" customFormat="1" ht="21.95" customHeight="1" x14ac:dyDescent="0.25">
      <c r="A57" s="242" t="s">
        <v>2390</v>
      </c>
      <c r="B57" s="249" t="s">
        <v>535</v>
      </c>
      <c r="C57" s="195" t="s">
        <v>52</v>
      </c>
      <c r="D57" s="430"/>
      <c r="E57" s="341"/>
      <c r="F57" s="203"/>
      <c r="G57" s="41"/>
      <c r="H57" s="658"/>
      <c r="I57" s="1000"/>
      <c r="J57" s="41"/>
      <c r="K57" s="27"/>
      <c r="L57" s="27">
        <f t="shared" si="1"/>
        <v>0</v>
      </c>
    </row>
    <row r="58" spans="1:12" ht="45" customHeight="1" x14ac:dyDescent="0.25">
      <c r="A58" s="242" t="s">
        <v>542</v>
      </c>
      <c r="B58" s="86" t="s">
        <v>603</v>
      </c>
      <c r="C58" s="195" t="s">
        <v>52</v>
      </c>
      <c r="D58" s="430"/>
      <c r="E58" s="341"/>
      <c r="F58" s="202" t="s">
        <v>1609</v>
      </c>
      <c r="H58" s="658"/>
      <c r="I58" s="666" t="str">
        <f>IF(OR(E58&lt;0,E58&gt;'QT-Acquedotto'!E28),"Il valore deve essere maggiore o uguale a zero e minore di ∑WIN","")</f>
        <v/>
      </c>
      <c r="K58" s="27"/>
      <c r="L58" s="27">
        <f t="shared" si="1"/>
        <v>0</v>
      </c>
    </row>
    <row r="59" spans="1:12" ht="25.35" customHeight="1" x14ac:dyDescent="0.25">
      <c r="A59" s="242" t="s">
        <v>2391</v>
      </c>
      <c r="B59" s="114" t="s">
        <v>555</v>
      </c>
      <c r="C59" s="195" t="s">
        <v>52</v>
      </c>
      <c r="D59" s="430"/>
      <c r="E59" s="341"/>
      <c r="F59" s="202" t="s">
        <v>539</v>
      </c>
      <c r="H59" s="658"/>
      <c r="I59" s="1000" t="str">
        <f>IF(OR(E59&lt;&gt;"",E60&lt;&gt;"",E61&lt;&gt;""),IF(OR(E59&lt;0,E60&lt;0,E61&lt;0,E59+E60+E61&lt;&gt;E58),"Ogni di cui deve essere maggiore o uguale a zero e la somma deve essere pari a WA6",""),"")</f>
        <v/>
      </c>
      <c r="K59" s="27"/>
      <c r="L59" s="27">
        <f t="shared" si="1"/>
        <v>0</v>
      </c>
    </row>
    <row r="60" spans="1:12" ht="30" customHeight="1" x14ac:dyDescent="0.25">
      <c r="A60" s="242" t="s">
        <v>2392</v>
      </c>
      <c r="B60" s="114" t="s">
        <v>556</v>
      </c>
      <c r="C60" s="195" t="s">
        <v>52</v>
      </c>
      <c r="D60" s="430"/>
      <c r="E60" s="341"/>
      <c r="F60" s="202" t="s">
        <v>590</v>
      </c>
      <c r="H60" s="658"/>
      <c r="I60" s="1000"/>
      <c r="K60" s="27"/>
      <c r="L60" s="27">
        <f t="shared" si="1"/>
        <v>0</v>
      </c>
    </row>
    <row r="61" spans="1:12" ht="38.25" x14ac:dyDescent="0.25">
      <c r="A61" s="250" t="s">
        <v>2393</v>
      </c>
      <c r="B61" s="251" t="s">
        <v>596</v>
      </c>
      <c r="C61" s="199" t="s">
        <v>52</v>
      </c>
      <c r="D61" s="430"/>
      <c r="E61" s="341"/>
      <c r="F61" s="204" t="s">
        <v>591</v>
      </c>
      <c r="H61" s="658"/>
      <c r="I61" s="1000"/>
      <c r="K61" s="27"/>
      <c r="L61" s="27">
        <f t="shared" si="1"/>
        <v>0</v>
      </c>
    </row>
    <row r="62" spans="1:12" s="31" customFormat="1" ht="32.1" customHeight="1" x14ac:dyDescent="0.25">
      <c r="A62" s="141" t="s">
        <v>100</v>
      </c>
      <c r="B62" s="86" t="s">
        <v>101</v>
      </c>
      <c r="C62" s="189" t="s">
        <v>8</v>
      </c>
      <c r="D62" s="434"/>
      <c r="E62" s="343">
        <f>'QT-Acquedotto'!E80</f>
        <v>0</v>
      </c>
      <c r="F62" s="191"/>
      <c r="G62" s="19"/>
      <c r="H62" s="658"/>
      <c r="I62" s="666"/>
      <c r="J62" s="19"/>
      <c r="K62" s="27"/>
      <c r="L62" s="27">
        <f t="shared" si="1"/>
        <v>0</v>
      </c>
    </row>
    <row r="63" spans="1:12" s="31" customFormat="1" ht="70.349999999999994" customHeight="1" x14ac:dyDescent="0.25">
      <c r="A63" s="141" t="s">
        <v>2394</v>
      </c>
      <c r="B63" s="151" t="s">
        <v>594</v>
      </c>
      <c r="C63" s="200" t="s">
        <v>8</v>
      </c>
      <c r="D63" s="439"/>
      <c r="E63" s="381"/>
      <c r="F63" s="202" t="s">
        <v>2334</v>
      </c>
      <c r="G63" s="19"/>
      <c r="H63" s="658"/>
      <c r="I63" s="666" t="str">
        <f>IF(OR(E63&lt;0,E63&gt;E62),"Il valore deve essere maggiore o uguale a zero e minore di UtT","")</f>
        <v/>
      </c>
      <c r="J63" s="19"/>
      <c r="K63" s="27"/>
      <c r="L63" s="27">
        <f t="shared" ref="L63:L67" si="5">IF(I63="",0,1)</f>
        <v>0</v>
      </c>
    </row>
    <row r="64" spans="1:12" ht="30" customHeight="1" x14ac:dyDescent="0.25">
      <c r="A64" s="141" t="s">
        <v>2395</v>
      </c>
      <c r="B64" s="86" t="s">
        <v>198</v>
      </c>
      <c r="C64" s="195" t="s">
        <v>8</v>
      </c>
      <c r="D64" s="439"/>
      <c r="E64" s="381"/>
      <c r="F64" s="191"/>
      <c r="H64" s="658"/>
      <c r="I64" s="666" t="str">
        <f>IF(E64&lt;0,"Il valore deve essere maggiore o uguale a zero","")</f>
        <v/>
      </c>
      <c r="K64" s="27"/>
      <c r="L64" s="27">
        <f t="shared" si="5"/>
        <v>0</v>
      </c>
    </row>
    <row r="65" spans="1:12" ht="52.5" customHeight="1" x14ac:dyDescent="0.25">
      <c r="A65" s="252" t="s">
        <v>600</v>
      </c>
      <c r="B65" s="253" t="s">
        <v>599</v>
      </c>
      <c r="C65" s="200" t="s">
        <v>2</v>
      </c>
      <c r="D65" s="440"/>
      <c r="E65" s="419"/>
      <c r="F65" s="205" t="s">
        <v>1620</v>
      </c>
      <c r="G65" s="53"/>
      <c r="H65" s="658"/>
      <c r="I65" s="666" t="str">
        <f>IF(E65&lt;0,"Il valore deve essere maggiore o uguale a zero",IF(E65&gt;'QT-Acquedotto'!E44,"Attenzione: il valore è superiore a Ld - verificare",""))</f>
        <v/>
      </c>
      <c r="K65" s="27"/>
      <c r="L65" s="27">
        <f t="shared" si="5"/>
        <v>0</v>
      </c>
    </row>
    <row r="66" spans="1:12" ht="68.25" customHeight="1" x14ac:dyDescent="0.25">
      <c r="A66" s="305" t="s">
        <v>2396</v>
      </c>
      <c r="B66" s="251" t="s">
        <v>2449</v>
      </c>
      <c r="C66" s="199" t="s">
        <v>2</v>
      </c>
      <c r="D66" s="440"/>
      <c r="E66" s="419"/>
      <c r="F66" s="204" t="s">
        <v>2615</v>
      </c>
      <c r="G66" s="53"/>
      <c r="H66" s="658"/>
      <c r="I66" s="666" t="str">
        <f>IF(OR(E66&lt;0,E66&gt;E65),"Il valore deve essere maggiore o uguale a zero e minore o uguale a Lall","")</f>
        <v/>
      </c>
      <c r="K66" s="27"/>
      <c r="L66" s="27">
        <f t="shared" si="5"/>
        <v>0</v>
      </c>
    </row>
    <row r="67" spans="1:12" ht="68.25" customHeight="1" x14ac:dyDescent="0.25">
      <c r="A67" s="242" t="s">
        <v>2428</v>
      </c>
      <c r="B67" s="114" t="s">
        <v>2429</v>
      </c>
      <c r="C67" s="195" t="s">
        <v>2</v>
      </c>
      <c r="D67" s="441"/>
      <c r="E67" s="404"/>
      <c r="F67" s="205" t="s">
        <v>2940</v>
      </c>
      <c r="G67" s="53"/>
      <c r="H67" s="658"/>
      <c r="I67" s="666" t="str">
        <f>IF(OR(E67&lt;0,E67&gt;E65),"Il valore deve essere maggiore o uguale a zero e minore o uguale a Lall","")</f>
        <v/>
      </c>
      <c r="K67" s="27"/>
      <c r="L67" s="27">
        <f t="shared" si="5"/>
        <v>0</v>
      </c>
    </row>
    <row r="68" spans="1:12" ht="35.25" customHeight="1" x14ac:dyDescent="0.25">
      <c r="A68" s="242" t="s">
        <v>70</v>
      </c>
      <c r="B68" s="86" t="s">
        <v>71</v>
      </c>
      <c r="C68" s="195" t="s">
        <v>2</v>
      </c>
      <c r="D68" s="442"/>
      <c r="E68" s="398">
        <f>'QT-Acquedotto'!E42</f>
        <v>0</v>
      </c>
      <c r="F68" s="191"/>
      <c r="G68" s="53"/>
      <c r="H68" s="658"/>
      <c r="I68" s="666"/>
      <c r="K68" s="27"/>
      <c r="L68" s="27">
        <f t="shared" si="1"/>
        <v>0</v>
      </c>
    </row>
    <row r="69" spans="1:12" ht="25.35" customHeight="1" x14ac:dyDescent="0.25">
      <c r="A69" s="252" t="s">
        <v>2397</v>
      </c>
      <c r="B69" s="254" t="s">
        <v>604</v>
      </c>
      <c r="C69" s="200" t="s">
        <v>2</v>
      </c>
      <c r="D69" s="439"/>
      <c r="E69" s="381"/>
      <c r="F69" s="203"/>
      <c r="G69" s="53"/>
      <c r="H69" s="658"/>
      <c r="I69" s="1000" t="str">
        <f>IF(OR(E69&lt;0,E70&lt;0,E71&lt;0,E72&lt;0,E73&lt;0,E74&lt;0,E69+E70+E71+E72+E73+E74&lt;&gt;E68),"Ogni di cui deve essere maggiore o uguale a zero e la somma deve essere pari a Lp","")</f>
        <v/>
      </c>
      <c r="K69" s="27"/>
      <c r="L69" s="27">
        <f t="shared" si="1"/>
        <v>0</v>
      </c>
    </row>
    <row r="70" spans="1:12" ht="25.35" customHeight="1" x14ac:dyDescent="0.25">
      <c r="A70" s="242" t="s">
        <v>2398</v>
      </c>
      <c r="B70" s="254" t="s">
        <v>536</v>
      </c>
      <c r="C70" s="200" t="s">
        <v>2</v>
      </c>
      <c r="D70" s="439"/>
      <c r="E70" s="381"/>
      <c r="F70" s="191"/>
      <c r="H70" s="658"/>
      <c r="I70" s="1000"/>
      <c r="K70" s="27"/>
      <c r="L70" s="27">
        <f t="shared" si="1"/>
        <v>0</v>
      </c>
    </row>
    <row r="71" spans="1:12" ht="25.35" customHeight="1" x14ac:dyDescent="0.25">
      <c r="A71" s="242" t="s">
        <v>2399</v>
      </c>
      <c r="B71" s="254" t="s">
        <v>1611</v>
      </c>
      <c r="C71" s="200" t="s">
        <v>2</v>
      </c>
      <c r="D71" s="439"/>
      <c r="E71" s="381"/>
      <c r="F71" s="191"/>
      <c r="H71" s="658"/>
      <c r="I71" s="1000"/>
      <c r="K71" s="27"/>
      <c r="L71" s="27">
        <f t="shared" si="1"/>
        <v>0</v>
      </c>
    </row>
    <row r="72" spans="1:12" ht="25.35" customHeight="1" x14ac:dyDescent="0.25">
      <c r="A72" s="242" t="s">
        <v>2400</v>
      </c>
      <c r="B72" s="254" t="s">
        <v>1614</v>
      </c>
      <c r="C72" s="200" t="s">
        <v>2</v>
      </c>
      <c r="D72" s="439"/>
      <c r="E72" s="381"/>
      <c r="F72" s="191"/>
      <c r="H72" s="658"/>
      <c r="I72" s="1000"/>
      <c r="K72" s="27"/>
      <c r="L72" s="27">
        <f t="shared" si="1"/>
        <v>0</v>
      </c>
    </row>
    <row r="73" spans="1:12" ht="25.35" customHeight="1" x14ac:dyDescent="0.25">
      <c r="A73" s="242" t="s">
        <v>2401</v>
      </c>
      <c r="B73" s="254" t="s">
        <v>537</v>
      </c>
      <c r="C73" s="200" t="s">
        <v>2</v>
      </c>
      <c r="D73" s="439"/>
      <c r="E73" s="381"/>
      <c r="F73" s="191"/>
      <c r="H73" s="658"/>
      <c r="I73" s="1000"/>
      <c r="K73" s="27"/>
      <c r="L73" s="27">
        <f t="shared" si="1"/>
        <v>0</v>
      </c>
    </row>
    <row r="74" spans="1:12" ht="25.35" customHeight="1" x14ac:dyDescent="0.25">
      <c r="A74" s="242" t="s">
        <v>2402</v>
      </c>
      <c r="B74" s="254" t="s">
        <v>538</v>
      </c>
      <c r="C74" s="200" t="s">
        <v>2</v>
      </c>
      <c r="D74" s="442"/>
      <c r="E74" s="398">
        <f>E68-E69-E70-E71-E72-E73</f>
        <v>0</v>
      </c>
      <c r="F74" s="191" t="s">
        <v>574</v>
      </c>
      <c r="H74" s="658"/>
      <c r="I74" s="1000"/>
      <c r="K74" s="27"/>
      <c r="L74" s="27">
        <f t="shared" si="1"/>
        <v>0</v>
      </c>
    </row>
    <row r="75" spans="1:12" ht="35.25" customHeight="1" x14ac:dyDescent="0.25">
      <c r="A75" s="141" t="s">
        <v>2403</v>
      </c>
      <c r="B75" s="86" t="s">
        <v>199</v>
      </c>
      <c r="C75" s="195" t="s">
        <v>2</v>
      </c>
      <c r="D75" s="441"/>
      <c r="E75" s="404"/>
      <c r="F75" s="191" t="s">
        <v>200</v>
      </c>
      <c r="H75" s="658"/>
      <c r="I75" s="666" t="str">
        <f>IF(OR(E75&lt;0,E75&gt;E68),"Il valore deve essere maggiore o uguale a zero e minore o uguale a Lp","")</f>
        <v/>
      </c>
      <c r="K75" s="27"/>
      <c r="L75" s="27">
        <f t="shared" ref="L75:L102" si="6">IF(I75="",0,1)</f>
        <v>0</v>
      </c>
    </row>
    <row r="76" spans="1:12" ht="45" customHeight="1" x14ac:dyDescent="0.25">
      <c r="A76" s="141" t="s">
        <v>2404</v>
      </c>
      <c r="B76" s="86" t="s">
        <v>201</v>
      </c>
      <c r="C76" s="195" t="s">
        <v>2</v>
      </c>
      <c r="D76" s="441"/>
      <c r="E76" s="404"/>
      <c r="F76" s="191" t="s">
        <v>2439</v>
      </c>
      <c r="H76" s="658"/>
      <c r="I76" s="666" t="str">
        <f>IF(OR(E76&lt;0,E76&gt;E68),"Il valore deve essere maggiore o uguale a zero e minore o uguale a Lp","")</f>
        <v/>
      </c>
      <c r="K76" s="27"/>
      <c r="L76" s="27">
        <f t="shared" si="6"/>
        <v>0</v>
      </c>
    </row>
    <row r="77" spans="1:12" ht="36" customHeight="1" x14ac:dyDescent="0.25">
      <c r="A77" s="141" t="s">
        <v>2405</v>
      </c>
      <c r="B77" s="86" t="s">
        <v>202</v>
      </c>
      <c r="C77" s="195" t="s">
        <v>2</v>
      </c>
      <c r="D77" s="441"/>
      <c r="E77" s="404"/>
      <c r="F77" s="191" t="s">
        <v>1610</v>
      </c>
      <c r="H77" s="658"/>
      <c r="I77" s="666" t="str">
        <f>IF(OR(E77&lt;0,E77&gt;'QT-Acquedotto'!E44),"Il valore deve essere maggiore o uguale a zero e minore o uguale a Ld","")</f>
        <v/>
      </c>
      <c r="K77" s="27"/>
      <c r="L77" s="27">
        <f t="shared" si="6"/>
        <v>0</v>
      </c>
    </row>
    <row r="78" spans="1:12" ht="36" customHeight="1" x14ac:dyDescent="0.25">
      <c r="A78" s="141" t="s">
        <v>2941</v>
      </c>
      <c r="B78" s="86" t="s">
        <v>2837</v>
      </c>
      <c r="C78" s="195" t="s">
        <v>2</v>
      </c>
      <c r="D78" s="441"/>
      <c r="E78" s="404"/>
      <c r="F78" s="191" t="s">
        <v>2838</v>
      </c>
      <c r="H78" s="658"/>
      <c r="I78" s="666" t="str">
        <f>IF(OR(E78&lt;0,E78&gt;'QT-Acquedotto'!E42),"Il valore deve essere maggiore o uguale a zero e minore o uguale a Lp","")</f>
        <v/>
      </c>
      <c r="K78" s="27"/>
      <c r="L78" s="27">
        <f t="shared" ref="L78:L79" si="7">IF(I78="",0,1)</f>
        <v>0</v>
      </c>
    </row>
    <row r="79" spans="1:12" ht="36" customHeight="1" x14ac:dyDescent="0.25">
      <c r="A79" s="141" t="s">
        <v>2942</v>
      </c>
      <c r="B79" s="86" t="s">
        <v>2835</v>
      </c>
      <c r="C79" s="195" t="s">
        <v>2</v>
      </c>
      <c r="D79" s="441"/>
      <c r="E79" s="404"/>
      <c r="F79" s="191" t="s">
        <v>2944</v>
      </c>
      <c r="H79" s="658"/>
      <c r="I79" s="666" t="str">
        <f>IF(OR(E79&lt;0,E79&gt;'QT-Acquedotto'!E43),"Il valore deve essere maggiore o uguale a zero e minore o uguale a La","")</f>
        <v/>
      </c>
      <c r="K79" s="27"/>
      <c r="L79" s="27">
        <f t="shared" si="7"/>
        <v>0</v>
      </c>
    </row>
    <row r="80" spans="1:12" ht="36" customHeight="1" x14ac:dyDescent="0.25">
      <c r="A80" s="141" t="s">
        <v>2943</v>
      </c>
      <c r="B80" s="86" t="s">
        <v>2836</v>
      </c>
      <c r="C80" s="195" t="s">
        <v>2</v>
      </c>
      <c r="D80" s="441"/>
      <c r="E80" s="404"/>
      <c r="F80" s="191" t="s">
        <v>2945</v>
      </c>
      <c r="H80" s="658"/>
      <c r="I80" s="666" t="str">
        <f>IF(OR(E80&lt;0,E80&gt;'QT-Acquedotto'!E44),"Il valore deve essere maggiore o uguale a zero e minore o uguale a Ld","")</f>
        <v/>
      </c>
      <c r="K80" s="27"/>
      <c r="L80" s="27">
        <f t="shared" ref="L80" si="8">IF(I80="",0,1)</f>
        <v>0</v>
      </c>
    </row>
    <row r="81" spans="1:20" ht="45" x14ac:dyDescent="0.25">
      <c r="A81" s="141" t="s">
        <v>2406</v>
      </c>
      <c r="B81" s="86" t="s">
        <v>203</v>
      </c>
      <c r="C81" s="195" t="s">
        <v>2</v>
      </c>
      <c r="D81" s="441"/>
      <c r="E81" s="404"/>
      <c r="F81" s="191" t="s">
        <v>592</v>
      </c>
      <c r="H81" s="658"/>
      <c r="I81" s="666" t="str">
        <f>IF(OR(E81&lt;0,E81&gt;E68),"Il valore deve essere maggiore o uguale a zero e minore o uguale a Lp","")</f>
        <v/>
      </c>
      <c r="K81" s="27"/>
      <c r="L81" s="27">
        <f t="shared" si="6"/>
        <v>0</v>
      </c>
    </row>
    <row r="82" spans="1:20" ht="30" customHeight="1" thickBot="1" x14ac:dyDescent="0.3">
      <c r="A82" s="255" t="s">
        <v>2407</v>
      </c>
      <c r="B82" s="88" t="s">
        <v>204</v>
      </c>
      <c r="C82" s="307" t="s">
        <v>8</v>
      </c>
      <c r="D82" s="435"/>
      <c r="E82" s="354"/>
      <c r="F82" s="192" t="s">
        <v>200</v>
      </c>
      <c r="H82" s="658"/>
      <c r="I82" s="672" t="str">
        <f>IF(E82&lt;0,"Il valore deve essere maggiore o uguale a zero","")</f>
        <v/>
      </c>
      <c r="K82" s="27"/>
      <c r="L82" s="27">
        <f t="shared" si="6"/>
        <v>0</v>
      </c>
      <c r="T82" s="54"/>
    </row>
    <row r="83" spans="1:20" s="31" customFormat="1" ht="10.5" customHeight="1" x14ac:dyDescent="0.25">
      <c r="A83" s="72"/>
      <c r="B83" s="73"/>
      <c r="C83" s="74"/>
      <c r="D83" s="75"/>
      <c r="E83" s="75"/>
      <c r="F83" s="76"/>
      <c r="G83" s="66"/>
      <c r="H83" s="659"/>
      <c r="I83" s="77"/>
      <c r="J83" s="66"/>
      <c r="K83" s="27"/>
      <c r="L83" s="27">
        <f t="shared" si="6"/>
        <v>0</v>
      </c>
    </row>
    <row r="84" spans="1:20" s="31" customFormat="1" ht="18" thickBot="1" x14ac:dyDescent="0.3">
      <c r="A84" s="32" t="s">
        <v>2341</v>
      </c>
      <c r="B84" s="73"/>
      <c r="C84" s="73"/>
      <c r="D84" s="73"/>
      <c r="E84" s="73"/>
      <c r="F84" s="78"/>
      <c r="G84" s="79"/>
      <c r="H84" s="661"/>
      <c r="I84" s="80"/>
      <c r="J84" s="79"/>
      <c r="K84" s="27"/>
      <c r="L84" s="27">
        <f t="shared" si="6"/>
        <v>0</v>
      </c>
    </row>
    <row r="85" spans="1:20" ht="30" customHeight="1" x14ac:dyDescent="0.25">
      <c r="A85" s="246" t="s">
        <v>233</v>
      </c>
      <c r="B85" s="34" t="s">
        <v>234</v>
      </c>
      <c r="C85" s="194" t="s">
        <v>2</v>
      </c>
      <c r="D85" s="443"/>
      <c r="E85" s="218">
        <f>'QT-Fognatura'!E24</f>
        <v>0</v>
      </c>
      <c r="F85" s="190"/>
      <c r="G85" s="81"/>
      <c r="H85" s="658"/>
      <c r="I85" s="668"/>
      <c r="J85" s="81"/>
      <c r="K85" s="27"/>
      <c r="L85" s="27">
        <f t="shared" si="6"/>
        <v>0</v>
      </c>
    </row>
    <row r="86" spans="1:20" ht="25.35" customHeight="1" x14ac:dyDescent="0.25">
      <c r="A86" s="242" t="s">
        <v>2414</v>
      </c>
      <c r="B86" s="114" t="s">
        <v>604</v>
      </c>
      <c r="C86" s="195" t="s">
        <v>2</v>
      </c>
      <c r="D86" s="439"/>
      <c r="E86" s="381"/>
      <c r="F86" s="191"/>
      <c r="G86" s="81"/>
      <c r="H86" s="658"/>
      <c r="I86" s="1000" t="str">
        <f>IF(OR(E86&lt;0,E87&lt;0,E88&lt;0,E89&lt;0,E90&lt;0,E91&lt;0,E86+E87+E88+E89+E90+E91&lt;&gt;E85),"Ogni di cui deve essere maggiore o uguale a zero e la somma deve essere pari a Lf","")</f>
        <v/>
      </c>
      <c r="J86" s="81"/>
      <c r="K86" s="27"/>
      <c r="L86" s="27">
        <f t="shared" si="6"/>
        <v>0</v>
      </c>
    </row>
    <row r="87" spans="1:20" ht="25.35" customHeight="1" x14ac:dyDescent="0.25">
      <c r="A87" s="242" t="s">
        <v>2415</v>
      </c>
      <c r="B87" s="114" t="s">
        <v>536</v>
      </c>
      <c r="C87" s="195" t="s">
        <v>2</v>
      </c>
      <c r="D87" s="439"/>
      <c r="E87" s="381"/>
      <c r="F87" s="191"/>
      <c r="G87" s="81"/>
      <c r="H87" s="658"/>
      <c r="I87" s="1000"/>
      <c r="J87" s="81"/>
      <c r="K87" s="27"/>
      <c r="L87" s="27">
        <f t="shared" si="6"/>
        <v>0</v>
      </c>
    </row>
    <row r="88" spans="1:20" ht="25.35" customHeight="1" x14ac:dyDescent="0.25">
      <c r="A88" s="242" t="s">
        <v>2416</v>
      </c>
      <c r="B88" s="114" t="s">
        <v>1611</v>
      </c>
      <c r="C88" s="195" t="s">
        <v>2</v>
      </c>
      <c r="D88" s="439"/>
      <c r="E88" s="381"/>
      <c r="F88" s="191"/>
      <c r="G88" s="81"/>
      <c r="H88" s="658"/>
      <c r="I88" s="1000"/>
      <c r="J88" s="81"/>
      <c r="K88" s="27"/>
      <c r="L88" s="27">
        <f t="shared" si="6"/>
        <v>0</v>
      </c>
    </row>
    <row r="89" spans="1:20" ht="25.35" customHeight="1" x14ac:dyDescent="0.25">
      <c r="A89" s="242" t="s">
        <v>2417</v>
      </c>
      <c r="B89" s="114" t="s">
        <v>1614</v>
      </c>
      <c r="C89" s="195" t="s">
        <v>2</v>
      </c>
      <c r="D89" s="439"/>
      <c r="E89" s="381"/>
      <c r="F89" s="191"/>
      <c r="G89" s="81"/>
      <c r="H89" s="658"/>
      <c r="I89" s="1000"/>
      <c r="J89" s="81"/>
      <c r="K89" s="27"/>
      <c r="L89" s="27">
        <f t="shared" si="6"/>
        <v>0</v>
      </c>
    </row>
    <row r="90" spans="1:20" ht="25.35" customHeight="1" x14ac:dyDescent="0.25">
      <c r="A90" s="242" t="s">
        <v>2418</v>
      </c>
      <c r="B90" s="114" t="s">
        <v>537</v>
      </c>
      <c r="C90" s="195" t="s">
        <v>2</v>
      </c>
      <c r="D90" s="439"/>
      <c r="E90" s="381"/>
      <c r="F90" s="191"/>
      <c r="G90" s="81"/>
      <c r="H90" s="658"/>
      <c r="I90" s="1000"/>
      <c r="J90" s="81"/>
      <c r="K90" s="27"/>
      <c r="L90" s="27">
        <f t="shared" si="6"/>
        <v>0</v>
      </c>
    </row>
    <row r="91" spans="1:20" ht="25.35" customHeight="1" x14ac:dyDescent="0.25">
      <c r="A91" s="242" t="s">
        <v>2419</v>
      </c>
      <c r="B91" s="114" t="s">
        <v>538</v>
      </c>
      <c r="C91" s="195" t="s">
        <v>2</v>
      </c>
      <c r="D91" s="442"/>
      <c r="E91" s="398">
        <f>E85-E86-E87-E88-E89-E90</f>
        <v>0</v>
      </c>
      <c r="F91" s="191" t="s">
        <v>574</v>
      </c>
      <c r="G91" s="81"/>
      <c r="H91" s="658"/>
      <c r="I91" s="1000"/>
      <c r="J91" s="81"/>
      <c r="K91" s="27"/>
      <c r="L91" s="27">
        <f t="shared" si="6"/>
        <v>0</v>
      </c>
    </row>
    <row r="92" spans="1:20" ht="30" customHeight="1" x14ac:dyDescent="0.25">
      <c r="A92" s="137" t="s">
        <v>283</v>
      </c>
      <c r="B92" s="105" t="s">
        <v>284</v>
      </c>
      <c r="C92" s="195" t="s">
        <v>8</v>
      </c>
      <c r="D92" s="444"/>
      <c r="E92" s="334"/>
      <c r="F92" s="191"/>
      <c r="G92"/>
      <c r="H92" s="658"/>
      <c r="I92" s="666" t="str">
        <f>IF(E92&lt;0,"Il valore deve essere maggiore di zero","")</f>
        <v/>
      </c>
      <c r="J92" s="81"/>
      <c r="K92" s="27"/>
      <c r="L92" s="27">
        <f t="shared" si="6"/>
        <v>0</v>
      </c>
    </row>
    <row r="93" spans="1:20" ht="42" customHeight="1" x14ac:dyDescent="0.25">
      <c r="A93" s="137" t="s">
        <v>285</v>
      </c>
      <c r="B93" s="105" t="s">
        <v>203</v>
      </c>
      <c r="C93" s="195" t="s">
        <v>2</v>
      </c>
      <c r="D93" s="444"/>
      <c r="E93" s="334"/>
      <c r="F93" s="191" t="s">
        <v>286</v>
      </c>
      <c r="G93"/>
      <c r="H93" s="658"/>
      <c r="I93" s="666" t="str">
        <f>IF(OR(E93&lt;0,E93&gt;E85),"Il valore deve essere maggiore o uguale a zero e minore o uguale a Lf","")</f>
        <v/>
      </c>
      <c r="J93" s="81"/>
      <c r="K93" s="27"/>
      <c r="L93" s="27">
        <f t="shared" si="6"/>
        <v>0</v>
      </c>
    </row>
    <row r="94" spans="1:20" ht="30" customHeight="1" x14ac:dyDescent="0.25">
      <c r="A94" s="137" t="s">
        <v>287</v>
      </c>
      <c r="B94" s="105" t="s">
        <v>288</v>
      </c>
      <c r="C94" s="195" t="s">
        <v>2</v>
      </c>
      <c r="D94" s="444"/>
      <c r="E94" s="334"/>
      <c r="F94" s="191" t="s">
        <v>286</v>
      </c>
      <c r="G94"/>
      <c r="H94" s="658"/>
      <c r="I94" s="666" t="str">
        <f>IF(OR(E94&lt;0,E94&gt;E85),"Il valore deve essere maggiore o uguale a zero e minore o uguale a Lf","")</f>
        <v/>
      </c>
      <c r="J94" s="81"/>
      <c r="K94" s="27"/>
      <c r="L94" s="27">
        <f t="shared" si="6"/>
        <v>0</v>
      </c>
    </row>
    <row r="95" spans="1:20" ht="32.1" customHeight="1" x14ac:dyDescent="0.25">
      <c r="A95" s="145" t="s">
        <v>289</v>
      </c>
      <c r="B95" s="124" t="s">
        <v>290</v>
      </c>
      <c r="C95" s="195" t="s">
        <v>8</v>
      </c>
      <c r="D95" s="444"/>
      <c r="E95" s="334"/>
      <c r="F95" s="202" t="s">
        <v>302</v>
      </c>
      <c r="G95" s="81"/>
      <c r="H95" s="658"/>
      <c r="I95" s="666" t="str">
        <f>IF(E95&lt;0,"Il valore deve essere maggiore di zero","")</f>
        <v/>
      </c>
      <c r="J95" s="81"/>
      <c r="K95" s="27"/>
      <c r="L95" s="27">
        <f t="shared" si="6"/>
        <v>0</v>
      </c>
    </row>
    <row r="96" spans="1:20" ht="30" x14ac:dyDescent="0.25">
      <c r="A96" s="145" t="s">
        <v>291</v>
      </c>
      <c r="B96" s="125" t="s">
        <v>292</v>
      </c>
      <c r="C96" s="195" t="s">
        <v>8</v>
      </c>
      <c r="D96" s="444"/>
      <c r="E96" s="334"/>
      <c r="F96" s="191" t="s">
        <v>104</v>
      </c>
      <c r="G96" s="81"/>
      <c r="H96" s="1001"/>
      <c r="I96" s="1002" t="str">
        <f>IF(OR(E96&lt;&gt;"",E97&lt;&gt;""),IF(OR(E96&lt;0,E97&lt;0,E97+E96&lt;&gt;E95),"Ogni di cui deve essere maggiore o uguale a zero e la somma deve essere pari a UtT_FOG",""),"")</f>
        <v/>
      </c>
      <c r="J96" s="81"/>
      <c r="K96" s="27"/>
      <c r="L96" s="27">
        <f t="shared" si="6"/>
        <v>0</v>
      </c>
    </row>
    <row r="97" spans="1:12" ht="25.35" customHeight="1" x14ac:dyDescent="0.25">
      <c r="A97" s="145" t="s">
        <v>293</v>
      </c>
      <c r="B97" s="126" t="s">
        <v>294</v>
      </c>
      <c r="C97" s="195" t="s">
        <v>8</v>
      </c>
      <c r="D97" s="444"/>
      <c r="E97" s="334"/>
      <c r="F97" s="191" t="s">
        <v>2335</v>
      </c>
      <c r="G97" s="81"/>
      <c r="H97" s="1001"/>
      <c r="I97" s="1002"/>
      <c r="J97" s="81"/>
      <c r="K97" s="27"/>
      <c r="L97" s="27">
        <f t="shared" si="6"/>
        <v>0</v>
      </c>
    </row>
    <row r="98" spans="1:12" ht="25.35" customHeight="1" x14ac:dyDescent="0.25">
      <c r="A98" s="145" t="s">
        <v>295</v>
      </c>
      <c r="B98" s="128" t="s">
        <v>2328</v>
      </c>
      <c r="C98" s="195" t="s">
        <v>8</v>
      </c>
      <c r="D98" s="444"/>
      <c r="E98" s="334"/>
      <c r="F98" s="191"/>
      <c r="G98" s="81"/>
      <c r="H98" s="658"/>
      <c r="I98" s="666" t="str">
        <f>IF(OR(E98&lt;0,E98&gt;E97),"Il valore deve essere maggiore o uguale a zero e minore o uguale a UtT_FOG,ind","")</f>
        <v/>
      </c>
      <c r="J98" s="81"/>
      <c r="K98" s="27"/>
      <c r="L98" s="27">
        <f t="shared" si="6"/>
        <v>0</v>
      </c>
    </row>
    <row r="99" spans="1:12" ht="25.35" customHeight="1" x14ac:dyDescent="0.25">
      <c r="A99" s="145" t="s">
        <v>296</v>
      </c>
      <c r="B99" s="128" t="s">
        <v>2329</v>
      </c>
      <c r="C99" s="195" t="s">
        <v>8</v>
      </c>
      <c r="D99" s="444"/>
      <c r="E99" s="334"/>
      <c r="F99" s="191"/>
      <c r="G99" s="81"/>
      <c r="H99" s="658"/>
      <c r="I99" s="666" t="str">
        <f>IF(OR(E99&lt;0,E99&gt;E97),"Il valore deve essere maggiore o uguale a zero e minore o uguale a UtT_FOG,ind","")</f>
        <v/>
      </c>
      <c r="J99" s="81"/>
      <c r="K99" s="27"/>
      <c r="L99" s="27">
        <f t="shared" si="6"/>
        <v>0</v>
      </c>
    </row>
    <row r="100" spans="1:12" ht="30" customHeight="1" x14ac:dyDescent="0.25">
      <c r="A100" s="145" t="s">
        <v>297</v>
      </c>
      <c r="B100" s="128" t="s">
        <v>2330</v>
      </c>
      <c r="C100" s="195" t="s">
        <v>8</v>
      </c>
      <c r="D100" s="444"/>
      <c r="E100" s="334"/>
      <c r="F100" s="191"/>
      <c r="G100" s="81"/>
      <c r="H100" s="658"/>
      <c r="I100" s="666" t="str">
        <f>IF(OR(E100&lt;0,E100&gt;E97),"Il valore deve essere maggiore o uguale a zero e minore o uguale a UtT_FOG,ind","")</f>
        <v/>
      </c>
      <c r="J100" s="81"/>
      <c r="K100" s="27"/>
      <c r="L100" s="27">
        <f t="shared" si="6"/>
        <v>0</v>
      </c>
    </row>
    <row r="101" spans="1:12" ht="32.1" customHeight="1" x14ac:dyDescent="0.25">
      <c r="A101" s="145" t="s">
        <v>298</v>
      </c>
      <c r="B101" s="105" t="s">
        <v>299</v>
      </c>
      <c r="C101" s="301" t="s">
        <v>8</v>
      </c>
      <c r="D101" s="444"/>
      <c r="E101" s="334"/>
      <c r="F101" s="202" t="s">
        <v>302</v>
      </c>
      <c r="G101" s="81"/>
      <c r="H101" s="658"/>
      <c r="I101" s="666" t="str">
        <f>IF(OR(E101&lt;0,E101&gt;E95),"Il valore deve essere maggiore o uguale a zero e minore o uguale a UtT_FOG","")</f>
        <v/>
      </c>
      <c r="J101" s="81"/>
      <c r="K101" s="27"/>
      <c r="L101" s="27">
        <f t="shared" si="6"/>
        <v>0</v>
      </c>
    </row>
    <row r="102" spans="1:12" ht="43.5" customHeight="1" x14ac:dyDescent="0.25">
      <c r="A102" s="145" t="s">
        <v>300</v>
      </c>
      <c r="B102" s="105" t="s">
        <v>301</v>
      </c>
      <c r="C102" s="301" t="s">
        <v>8</v>
      </c>
      <c r="D102" s="444"/>
      <c r="E102" s="334"/>
      <c r="F102" s="191" t="s">
        <v>302</v>
      </c>
      <c r="G102" s="81"/>
      <c r="H102" s="658"/>
      <c r="I102" s="666" t="str">
        <f>IF(E102&lt;E101,"Il valore deve essere maggiore di UtT_cond,FOG","")</f>
        <v/>
      </c>
      <c r="J102" s="81"/>
      <c r="K102" s="27"/>
      <c r="L102" s="27">
        <f t="shared" si="6"/>
        <v>0</v>
      </c>
    </row>
    <row r="103" spans="1:12" ht="32.1" customHeight="1" x14ac:dyDescent="0.25">
      <c r="A103" s="168" t="s">
        <v>303</v>
      </c>
      <c r="B103" s="110" t="s">
        <v>304</v>
      </c>
      <c r="C103" s="298" t="s">
        <v>8</v>
      </c>
      <c r="D103" s="445"/>
      <c r="E103" s="386">
        <f>IF((E95-E101+E102)&lt;0,"",E95-E101+E102)</f>
        <v>0</v>
      </c>
      <c r="F103" s="191"/>
      <c r="G103" s="81"/>
      <c r="H103" s="659"/>
      <c r="I103" s="673"/>
      <c r="J103" s="81"/>
      <c r="K103" s="27"/>
      <c r="L103" s="27">
        <f t="shared" ref="L103:L115" si="9">IF(I103="",0,1)</f>
        <v>0</v>
      </c>
    </row>
    <row r="104" spans="1:12" ht="32.1" customHeight="1" x14ac:dyDescent="0.25">
      <c r="A104" s="224" t="s">
        <v>605</v>
      </c>
      <c r="B104" s="119" t="s">
        <v>354</v>
      </c>
      <c r="C104" s="260" t="s">
        <v>8</v>
      </c>
      <c r="D104" s="439"/>
      <c r="E104" s="398">
        <f>'QT-Depurazione'!E36</f>
        <v>0</v>
      </c>
      <c r="F104" s="191"/>
      <c r="G104" s="16"/>
      <c r="H104" s="658"/>
      <c r="I104" s="666" t="str">
        <f>IF(E104&lt;0,"Il valore deve essere maggiore o uguale a zero","")</f>
        <v/>
      </c>
      <c r="J104" s="81"/>
      <c r="K104" s="27"/>
      <c r="L104" s="27">
        <f t="shared" si="9"/>
        <v>0</v>
      </c>
    </row>
    <row r="105" spans="1:12" ht="32.1" customHeight="1" x14ac:dyDescent="0.25">
      <c r="A105" s="224" t="s">
        <v>2946</v>
      </c>
      <c r="B105" s="245" t="s">
        <v>2824</v>
      </c>
      <c r="C105" s="260" t="s">
        <v>8</v>
      </c>
      <c r="D105" s="439"/>
      <c r="E105" s="381"/>
      <c r="F105" s="191" t="s">
        <v>2839</v>
      </c>
      <c r="G105" s="81"/>
      <c r="H105" s="662"/>
      <c r="I105" s="1003" t="str">
        <f>IF(OR(E105&lt;&gt;"",E106&lt;&gt;"",E107&lt;&gt;"",E108&lt;&gt;"",E109&lt;&gt;"",E110&lt;&gt;"",E111&lt;&gt;""),IF(OR(E105&lt;0,E106&lt;0,E107&lt;0,E108&lt;0,E109&lt;0,E110&lt;0,E111&lt;0,E111+E110+E109+E108+E107+E106+E105&lt;&gt;E104),"Ogni di cui deve essere maggiore o uguale a zero e la somma deve essere pari a Agg_tot",""),"")</f>
        <v/>
      </c>
      <c r="J105" s="81"/>
      <c r="K105" s="27"/>
      <c r="L105" s="27">
        <f t="shared" si="9"/>
        <v>0</v>
      </c>
    </row>
    <row r="106" spans="1:12" ht="32.1" customHeight="1" x14ac:dyDescent="0.25">
      <c r="A106" s="224" t="s">
        <v>2947</v>
      </c>
      <c r="B106" s="245" t="s">
        <v>2825</v>
      </c>
      <c r="C106" s="260" t="s">
        <v>8</v>
      </c>
      <c r="D106" s="439"/>
      <c r="E106" s="381"/>
      <c r="F106" s="191" t="s">
        <v>2839</v>
      </c>
      <c r="G106" s="81"/>
      <c r="H106" s="880"/>
      <c r="I106" s="1004"/>
      <c r="J106" s="81"/>
      <c r="K106" s="27"/>
      <c r="L106" s="27">
        <f t="shared" si="9"/>
        <v>0</v>
      </c>
    </row>
    <row r="107" spans="1:12" ht="32.1" customHeight="1" x14ac:dyDescent="0.25">
      <c r="A107" s="224" t="s">
        <v>2948</v>
      </c>
      <c r="B107" s="577" t="s">
        <v>2826</v>
      </c>
      <c r="C107" s="260" t="s">
        <v>8</v>
      </c>
      <c r="D107" s="439"/>
      <c r="E107" s="381"/>
      <c r="F107" s="191" t="s">
        <v>2839</v>
      </c>
      <c r="G107" s="81"/>
      <c r="H107" s="880"/>
      <c r="I107" s="1004"/>
      <c r="J107" s="81"/>
      <c r="K107" s="27"/>
      <c r="L107" s="27">
        <f t="shared" si="9"/>
        <v>0</v>
      </c>
    </row>
    <row r="108" spans="1:12" ht="32.1" customHeight="1" x14ac:dyDescent="0.25">
      <c r="A108" s="775" t="s">
        <v>3104</v>
      </c>
      <c r="B108" s="776" t="s">
        <v>3103</v>
      </c>
      <c r="C108" s="260" t="s">
        <v>8</v>
      </c>
      <c r="D108" s="439"/>
      <c r="E108" s="381"/>
      <c r="F108" s="191" t="s">
        <v>2839</v>
      </c>
      <c r="G108" s="81"/>
      <c r="H108" s="880"/>
      <c r="I108" s="1004"/>
      <c r="J108" s="81"/>
      <c r="K108" s="27"/>
      <c r="L108" s="27">
        <f t="shared" si="9"/>
        <v>0</v>
      </c>
    </row>
    <row r="109" spans="1:12" ht="32.1" customHeight="1" x14ac:dyDescent="0.25">
      <c r="A109" s="775" t="s">
        <v>3106</v>
      </c>
      <c r="B109" s="776" t="s">
        <v>3105</v>
      </c>
      <c r="C109" s="260" t="s">
        <v>8</v>
      </c>
      <c r="D109" s="439"/>
      <c r="E109" s="381"/>
      <c r="F109" s="191" t="s">
        <v>2839</v>
      </c>
      <c r="G109" s="81"/>
      <c r="H109" s="880"/>
      <c r="I109" s="1004"/>
      <c r="J109" s="81"/>
      <c r="K109" s="27"/>
      <c r="L109" s="27">
        <f t="shared" si="9"/>
        <v>0</v>
      </c>
    </row>
    <row r="110" spans="1:12" ht="32.1" customHeight="1" x14ac:dyDescent="0.25">
      <c r="A110" s="775" t="s">
        <v>3187</v>
      </c>
      <c r="B110" s="776" t="s">
        <v>3186</v>
      </c>
      <c r="C110" s="260" t="s">
        <v>8</v>
      </c>
      <c r="D110" s="439"/>
      <c r="E110" s="381"/>
      <c r="F110" s="191" t="s">
        <v>2839</v>
      </c>
      <c r="G110" s="81"/>
      <c r="H110" s="880"/>
      <c r="I110" s="1004"/>
      <c r="J110" s="81"/>
      <c r="K110" s="27"/>
      <c r="L110" s="27">
        <f t="shared" si="9"/>
        <v>0</v>
      </c>
    </row>
    <row r="111" spans="1:12" ht="32.1" customHeight="1" x14ac:dyDescent="0.25">
      <c r="A111" s="224" t="s">
        <v>2949</v>
      </c>
      <c r="B111" s="577" t="s">
        <v>3188</v>
      </c>
      <c r="C111" s="260" t="s">
        <v>8</v>
      </c>
      <c r="D111" s="439"/>
      <c r="E111" s="381"/>
      <c r="F111" s="191" t="s">
        <v>2839</v>
      </c>
      <c r="G111" s="81"/>
      <c r="H111" s="658"/>
      <c r="I111" s="1005"/>
      <c r="J111" s="81"/>
      <c r="K111" s="27"/>
      <c r="L111" s="27">
        <f t="shared" si="9"/>
        <v>0</v>
      </c>
    </row>
    <row r="112" spans="1:12" ht="32.1" customHeight="1" x14ac:dyDescent="0.25">
      <c r="A112" s="137" t="s">
        <v>305</v>
      </c>
      <c r="B112" s="124" t="s">
        <v>306</v>
      </c>
      <c r="C112" s="405" t="s">
        <v>3</v>
      </c>
      <c r="D112" s="444"/>
      <c r="E112" s="334"/>
      <c r="F112" s="202" t="s">
        <v>307</v>
      </c>
      <c r="G112" s="81"/>
      <c r="H112" s="658"/>
      <c r="I112" s="666" t="str">
        <f>IF(E112&lt;0,"Il valore deve essere maggiore di zero","")</f>
        <v/>
      </c>
      <c r="J112" s="81"/>
      <c r="K112" s="27"/>
      <c r="L112" s="27">
        <f t="shared" si="9"/>
        <v>0</v>
      </c>
    </row>
    <row r="113" spans="1:14" ht="30" x14ac:dyDescent="0.25">
      <c r="A113" s="137" t="s">
        <v>308</v>
      </c>
      <c r="B113" s="122" t="s">
        <v>309</v>
      </c>
      <c r="C113" s="405" t="s">
        <v>3</v>
      </c>
      <c r="D113" s="444"/>
      <c r="E113" s="334"/>
      <c r="F113" s="217"/>
      <c r="G113" s="81"/>
      <c r="H113" s="660"/>
      <c r="I113" s="1002" t="str">
        <f>IF(OR(E113&lt;&gt;"",E114&lt;&gt;""),IF(OR(E113&lt;0,E114&lt;0,E114+E113&lt;&gt;E112),"Ogni di cui deve essere maggiore o uguale a zero e la somma deve essere pari a Car_gen",""),"")</f>
        <v/>
      </c>
      <c r="J113" s="81"/>
      <c r="K113" s="27"/>
      <c r="L113" s="27">
        <f t="shared" si="9"/>
        <v>0</v>
      </c>
    </row>
    <row r="114" spans="1:14" ht="25.35" customHeight="1" x14ac:dyDescent="0.25">
      <c r="A114" s="137" t="s">
        <v>310</v>
      </c>
      <c r="B114" s="122" t="s">
        <v>311</v>
      </c>
      <c r="C114" s="405" t="s">
        <v>3</v>
      </c>
      <c r="D114" s="444"/>
      <c r="E114" s="334"/>
      <c r="F114" s="217"/>
      <c r="G114" s="81"/>
      <c r="H114" s="660"/>
      <c r="I114" s="1002"/>
      <c r="J114" s="81"/>
      <c r="K114" s="27"/>
      <c r="L114" s="27">
        <f t="shared" si="9"/>
        <v>0</v>
      </c>
    </row>
    <row r="115" spans="1:14" ht="45" customHeight="1" x14ac:dyDescent="0.25">
      <c r="A115" s="137" t="s">
        <v>312</v>
      </c>
      <c r="B115" s="124" t="s">
        <v>313</v>
      </c>
      <c r="C115" s="405" t="s">
        <v>3</v>
      </c>
      <c r="D115" s="444"/>
      <c r="E115" s="334"/>
      <c r="F115" s="202" t="s">
        <v>314</v>
      </c>
      <c r="G115" s="81"/>
      <c r="H115" s="658"/>
      <c r="I115" s="666" t="str">
        <f>IF(OR(E115&lt;0,E115&gt;E112),"Il valore deve essere maggiore di zero e minore o uguale a Car_gen","")</f>
        <v/>
      </c>
      <c r="J115" s="81"/>
      <c r="K115" s="27"/>
      <c r="L115" s="27">
        <f t="shared" si="9"/>
        <v>0</v>
      </c>
    </row>
    <row r="116" spans="1:14" ht="30" x14ac:dyDescent="0.25">
      <c r="A116" s="137" t="s">
        <v>315</v>
      </c>
      <c r="B116" s="122" t="s">
        <v>309</v>
      </c>
      <c r="C116" s="405" t="s">
        <v>3</v>
      </c>
      <c r="D116" s="444"/>
      <c r="E116" s="334"/>
      <c r="F116" s="217"/>
      <c r="G116" s="81"/>
      <c r="H116" s="1001"/>
      <c r="I116" s="1002" t="str">
        <f>IF(OR(E116&lt;&gt;"",E117&lt;&gt;""),IF(OR(E116&lt;0,E117&lt;0,E117+E116&lt;&gt;E115),"Ogni di cui deve essere maggiore o uguale a zero e la somma deve essere pari a Car_col",""),"")</f>
        <v/>
      </c>
      <c r="J116" s="81"/>
      <c r="K116" s="27"/>
      <c r="L116" s="27">
        <f t="shared" ref="L116:L117" si="10">IF(I116="",0,1)</f>
        <v>0</v>
      </c>
    </row>
    <row r="117" spans="1:14" ht="25.35" customHeight="1" thickBot="1" x14ac:dyDescent="0.3">
      <c r="A117" s="166" t="s">
        <v>316</v>
      </c>
      <c r="B117" s="169" t="s">
        <v>311</v>
      </c>
      <c r="C117" s="406" t="s">
        <v>3</v>
      </c>
      <c r="D117" s="446"/>
      <c r="E117" s="382"/>
      <c r="F117" s="407"/>
      <c r="G117" s="81"/>
      <c r="H117" s="1001"/>
      <c r="I117" s="1006"/>
      <c r="J117" s="81"/>
      <c r="K117" s="27"/>
      <c r="L117" s="27">
        <f t="shared" si="10"/>
        <v>0</v>
      </c>
    </row>
    <row r="118" spans="1:14" s="31" customFormat="1" ht="10.5" customHeight="1" x14ac:dyDescent="0.25">
      <c r="A118" s="72"/>
      <c r="B118" s="73"/>
      <c r="C118" s="74"/>
      <c r="D118" s="75"/>
      <c r="E118" s="75"/>
      <c r="F118" s="76"/>
      <c r="G118" s="66"/>
      <c r="H118" s="663"/>
      <c r="I118" s="75"/>
      <c r="J118" s="66"/>
      <c r="K118" s="27"/>
      <c r="L118" s="27">
        <f t="shared" ref="L118:L157" si="11">IF(I118="",0,1)</f>
        <v>0</v>
      </c>
    </row>
    <row r="119" spans="1:14" s="31" customFormat="1" ht="18" thickBot="1" x14ac:dyDescent="0.3">
      <c r="A119" s="32" t="s">
        <v>2342</v>
      </c>
      <c r="B119" s="73"/>
      <c r="C119" s="73"/>
      <c r="D119" s="73"/>
      <c r="E119" s="73"/>
      <c r="F119" s="78"/>
      <c r="G119" s="79"/>
      <c r="H119" s="664"/>
      <c r="I119" s="73"/>
      <c r="J119" s="79"/>
      <c r="K119" s="27"/>
      <c r="L119" s="27">
        <f t="shared" si="11"/>
        <v>0</v>
      </c>
    </row>
    <row r="120" spans="1:14" s="31" customFormat="1" ht="30" customHeight="1" x14ac:dyDescent="0.25">
      <c r="A120" s="98" t="s">
        <v>392</v>
      </c>
      <c r="B120" s="49" t="s">
        <v>427</v>
      </c>
      <c r="C120" s="297" t="s">
        <v>8</v>
      </c>
      <c r="D120" s="447"/>
      <c r="E120" s="216">
        <f>'QT-Depurazione'!E92</f>
        <v>0</v>
      </c>
      <c r="F120" s="213"/>
      <c r="G120" s="16"/>
      <c r="H120" s="662"/>
      <c r="I120" s="674"/>
      <c r="J120" s="16"/>
      <c r="K120" s="27"/>
      <c r="L120" s="27">
        <f t="shared" si="11"/>
        <v>0</v>
      </c>
    </row>
    <row r="121" spans="1:14" ht="25.35" customHeight="1" x14ac:dyDescent="0.25">
      <c r="A121" s="170" t="s">
        <v>428</v>
      </c>
      <c r="B121" s="122" t="s">
        <v>429</v>
      </c>
      <c r="C121" s="298" t="s">
        <v>8</v>
      </c>
      <c r="D121" s="439"/>
      <c r="E121" s="398">
        <f>J161</f>
        <v>0</v>
      </c>
      <c r="F121" s="191" t="s">
        <v>2831</v>
      </c>
      <c r="G121" s="16"/>
      <c r="H121" s="660"/>
      <c r="I121" s="1002" t="str">
        <f>IF(OR(E121&lt;&gt;"",E122&lt;&gt;"",E123&lt;&gt;"",E124&lt;&gt;"",E125&lt;&gt;""),IF(OR(E121&lt;0,E122&lt;0,E123&lt;0,E124&lt;0,E125&lt;0,E121+E122+E123+E124+E125&lt;&gt;E120),"Ogni di cui deve essere maggiore o uguale a zero e la somma deve essere pari a Ndep",""),"")</f>
        <v/>
      </c>
      <c r="J121" s="16"/>
      <c r="K121" s="27"/>
      <c r="L121" s="27">
        <f t="shared" si="11"/>
        <v>0</v>
      </c>
    </row>
    <row r="122" spans="1:14" ht="25.35" customHeight="1" x14ac:dyDescent="0.25">
      <c r="A122" s="170" t="s">
        <v>430</v>
      </c>
      <c r="B122" s="122" t="s">
        <v>431</v>
      </c>
      <c r="C122" s="298" t="s">
        <v>8</v>
      </c>
      <c r="D122" s="439"/>
      <c r="E122" s="398">
        <f>J162</f>
        <v>0</v>
      </c>
      <c r="F122" s="191" t="s">
        <v>2831</v>
      </c>
      <c r="G122" s="16"/>
      <c r="H122" s="660"/>
      <c r="I122" s="1002"/>
      <c r="J122" s="16"/>
      <c r="K122" s="27"/>
      <c r="L122" s="27">
        <f t="shared" si="11"/>
        <v>0</v>
      </c>
    </row>
    <row r="123" spans="1:14" ht="25.35" customHeight="1" x14ac:dyDescent="0.25">
      <c r="A123" s="170" t="s">
        <v>432</v>
      </c>
      <c r="B123" s="122" t="s">
        <v>433</v>
      </c>
      <c r="C123" s="298" t="s">
        <v>8</v>
      </c>
      <c r="D123" s="439"/>
      <c r="E123" s="398">
        <f>J163</f>
        <v>0</v>
      </c>
      <c r="F123" s="191" t="s">
        <v>2831</v>
      </c>
      <c r="G123" s="16"/>
      <c r="H123" s="660"/>
      <c r="I123" s="1002"/>
      <c r="J123" s="16"/>
      <c r="K123" s="27"/>
      <c r="L123" s="27">
        <f t="shared" si="11"/>
        <v>0</v>
      </c>
    </row>
    <row r="124" spans="1:14" ht="25.35" customHeight="1" x14ac:dyDescent="0.25">
      <c r="A124" s="170" t="s">
        <v>434</v>
      </c>
      <c r="B124" s="122" t="s">
        <v>435</v>
      </c>
      <c r="C124" s="298" t="s">
        <v>8</v>
      </c>
      <c r="D124" s="439"/>
      <c r="E124" s="398">
        <f>J164</f>
        <v>0</v>
      </c>
      <c r="F124" s="191" t="s">
        <v>2831</v>
      </c>
      <c r="G124" s="16"/>
      <c r="H124" s="660"/>
      <c r="I124" s="1002"/>
      <c r="J124" s="16"/>
      <c r="K124" s="27"/>
      <c r="L124" s="27">
        <f t="shared" si="11"/>
        <v>0</v>
      </c>
    </row>
    <row r="125" spans="1:14" ht="25.35" customHeight="1" x14ac:dyDescent="0.25">
      <c r="A125" s="170" t="s">
        <v>436</v>
      </c>
      <c r="B125" s="122" t="s">
        <v>2627</v>
      </c>
      <c r="C125" s="298" t="s">
        <v>8</v>
      </c>
      <c r="D125" s="439"/>
      <c r="E125" s="398">
        <f>J165</f>
        <v>0</v>
      </c>
      <c r="F125" s="191" t="s">
        <v>2831</v>
      </c>
      <c r="G125" s="16"/>
      <c r="H125" s="660"/>
      <c r="I125" s="1002"/>
      <c r="J125" s="16"/>
      <c r="K125" s="27"/>
      <c r="L125" s="27">
        <f t="shared" si="11"/>
        <v>0</v>
      </c>
    </row>
    <row r="126" spans="1:14" s="31" customFormat="1" ht="30" customHeight="1" x14ac:dyDescent="0.25">
      <c r="A126" s="170" t="s">
        <v>392</v>
      </c>
      <c r="B126" s="110" t="s">
        <v>393</v>
      </c>
      <c r="C126" s="298" t="s">
        <v>8</v>
      </c>
      <c r="D126" s="442"/>
      <c r="E126" s="398">
        <f>E120</f>
        <v>0</v>
      </c>
      <c r="F126" s="214"/>
      <c r="G126" s="16"/>
      <c r="H126" s="662"/>
      <c r="I126" s="675"/>
      <c r="J126" s="16"/>
      <c r="K126" s="27"/>
      <c r="L126" s="27">
        <f>IF(I126="",0,1)</f>
        <v>0</v>
      </c>
    </row>
    <row r="127" spans="1:14" ht="28.5" customHeight="1" x14ac:dyDescent="0.25">
      <c r="A127" s="165" t="s">
        <v>2950</v>
      </c>
      <c r="B127" s="152" t="s">
        <v>2827</v>
      </c>
      <c r="C127" s="298" t="s">
        <v>8</v>
      </c>
      <c r="D127" s="439"/>
      <c r="E127" s="398">
        <f>C166</f>
        <v>0</v>
      </c>
      <c r="F127" s="191" t="s">
        <v>2831</v>
      </c>
      <c r="G127" s="16"/>
      <c r="H127" s="662"/>
      <c r="I127" s="1003" t="str">
        <f>IF(OR(E127&lt;&gt;"",E128&lt;&gt;"",E129&lt;&gt;"",E130&lt;&gt;"",E131&lt;&gt;"",E132&lt;&gt;"",E133&lt;&gt;""),IF(OR(E127&lt;0,E128&lt;0,E129&lt;0,E130&lt;0,E131&lt;0,E132&lt;0,E133&lt;0,E133+E132+E131+E130+E129+E128+E127&lt;&gt;E126),"Ogni di cui deve essere maggiore o uguale a zero e la somma deve essere pari a Ndep",""),"")</f>
        <v/>
      </c>
      <c r="K127" s="27"/>
      <c r="L127" s="27">
        <f>IF(I127="",0,1)</f>
        <v>0</v>
      </c>
      <c r="N127" s="318"/>
    </row>
    <row r="128" spans="1:14" ht="31.5" customHeight="1" x14ac:dyDescent="0.25">
      <c r="A128" s="165" t="s">
        <v>2951</v>
      </c>
      <c r="B128" s="152" t="s">
        <v>2828</v>
      </c>
      <c r="C128" s="298" t="s">
        <v>8</v>
      </c>
      <c r="D128" s="439"/>
      <c r="E128" s="398">
        <f>D166</f>
        <v>0</v>
      </c>
      <c r="F128" s="191" t="s">
        <v>2831</v>
      </c>
      <c r="G128" s="16"/>
      <c r="H128" s="880"/>
      <c r="I128" s="1007"/>
      <c r="J128" s="16"/>
      <c r="K128" s="27"/>
      <c r="L128" s="27">
        <f t="shared" ref="L128:L132" si="12">IF(I128="",0,1)</f>
        <v>0</v>
      </c>
      <c r="N128" s="318"/>
    </row>
    <row r="129" spans="1:12" ht="31.5" customHeight="1" x14ac:dyDescent="0.25">
      <c r="A129" s="165" t="s">
        <v>2830</v>
      </c>
      <c r="B129" s="152" t="s">
        <v>2829</v>
      </c>
      <c r="C129" s="298" t="s">
        <v>8</v>
      </c>
      <c r="D129" s="439"/>
      <c r="E129" s="398">
        <f>E166</f>
        <v>0</v>
      </c>
      <c r="F129" s="191" t="s">
        <v>2831</v>
      </c>
      <c r="G129" s="16"/>
      <c r="H129" s="880"/>
      <c r="I129" s="1007"/>
      <c r="J129" s="16"/>
      <c r="K129" s="27"/>
      <c r="L129" s="27">
        <f t="shared" si="12"/>
        <v>0</v>
      </c>
    </row>
    <row r="130" spans="1:12" ht="25.35" customHeight="1" x14ac:dyDescent="0.25">
      <c r="A130" s="777" t="s">
        <v>3107</v>
      </c>
      <c r="B130" s="778" t="s">
        <v>3108</v>
      </c>
      <c r="C130" s="298" t="s">
        <v>8</v>
      </c>
      <c r="D130" s="439"/>
      <c r="E130" s="398">
        <f>F166</f>
        <v>0</v>
      </c>
      <c r="F130" s="191" t="s">
        <v>2831</v>
      </c>
      <c r="G130" s="16"/>
      <c r="H130" s="880"/>
      <c r="I130" s="1007"/>
      <c r="J130" s="16"/>
      <c r="K130" s="27"/>
      <c r="L130" s="27">
        <f t="shared" si="12"/>
        <v>0</v>
      </c>
    </row>
    <row r="131" spans="1:12" ht="25.35" customHeight="1" x14ac:dyDescent="0.25">
      <c r="A131" s="777" t="s">
        <v>3109</v>
      </c>
      <c r="B131" s="778" t="s">
        <v>3110</v>
      </c>
      <c r="C131" s="298" t="s">
        <v>8</v>
      </c>
      <c r="D131" s="439"/>
      <c r="E131" s="398">
        <f>G166</f>
        <v>0</v>
      </c>
      <c r="F131" s="191" t="s">
        <v>2831</v>
      </c>
      <c r="G131" s="16"/>
      <c r="H131" s="880"/>
      <c r="I131" s="1007"/>
      <c r="J131" s="16"/>
      <c r="K131" s="27"/>
      <c r="L131" s="27">
        <f t="shared" ref="L131" si="13">IF(I131="",0,1)</f>
        <v>0</v>
      </c>
    </row>
    <row r="132" spans="1:12" ht="25.5" x14ac:dyDescent="0.25">
      <c r="A132" s="777" t="s">
        <v>3185</v>
      </c>
      <c r="B132" s="778" t="s">
        <v>3153</v>
      </c>
      <c r="C132" s="298" t="s">
        <v>8</v>
      </c>
      <c r="D132" s="439"/>
      <c r="E132" s="398">
        <f>H166</f>
        <v>0</v>
      </c>
      <c r="F132" s="191" t="s">
        <v>2831</v>
      </c>
      <c r="G132" s="16"/>
      <c r="H132" s="880"/>
      <c r="I132" s="1007"/>
      <c r="J132" s="16"/>
      <c r="K132" s="27"/>
      <c r="L132" s="27">
        <f t="shared" si="12"/>
        <v>0</v>
      </c>
    </row>
    <row r="133" spans="1:12" ht="25.35" customHeight="1" x14ac:dyDescent="0.25">
      <c r="A133" s="165" t="s">
        <v>3184</v>
      </c>
      <c r="B133" s="152" t="s">
        <v>3154</v>
      </c>
      <c r="C133" s="298" t="s">
        <v>8</v>
      </c>
      <c r="D133" s="439"/>
      <c r="E133" s="398">
        <f>I166</f>
        <v>0</v>
      </c>
      <c r="F133" s="191" t="s">
        <v>2831</v>
      </c>
      <c r="G133" s="16"/>
      <c r="H133" s="658"/>
      <c r="I133" s="1008"/>
      <c r="J133" s="16"/>
      <c r="K133" s="27"/>
      <c r="L133" s="27">
        <f t="shared" si="11"/>
        <v>0</v>
      </c>
    </row>
    <row r="134" spans="1:12" ht="42" customHeight="1" x14ac:dyDescent="0.25">
      <c r="A134" s="137" t="s">
        <v>437</v>
      </c>
      <c r="B134" s="110" t="s">
        <v>438</v>
      </c>
      <c r="C134" s="298" t="s">
        <v>3</v>
      </c>
      <c r="D134" s="439"/>
      <c r="E134" s="381"/>
      <c r="F134" s="603" t="s">
        <v>3117</v>
      </c>
      <c r="G134" s="16"/>
      <c r="H134" s="658"/>
      <c r="I134" s="666" t="str">
        <f>IF(E134&lt;0,"Il valore deve essere maggiore o uguale a zero","")</f>
        <v/>
      </c>
      <c r="J134" s="16"/>
      <c r="K134" s="27"/>
      <c r="L134" s="27">
        <f t="shared" si="11"/>
        <v>0</v>
      </c>
    </row>
    <row r="135" spans="1:12" s="31" customFormat="1" ht="45" x14ac:dyDescent="0.25">
      <c r="A135" s="170" t="s">
        <v>439</v>
      </c>
      <c r="B135" s="110" t="s">
        <v>440</v>
      </c>
      <c r="C135" s="298" t="s">
        <v>3</v>
      </c>
      <c r="D135" s="442"/>
      <c r="E135" s="398">
        <f>'QT-Depurazione'!E8</f>
        <v>0</v>
      </c>
      <c r="F135" s="214"/>
      <c r="G135" s="16"/>
      <c r="H135" s="660"/>
      <c r="I135" s="671"/>
      <c r="J135" s="16"/>
      <c r="K135" s="27"/>
      <c r="L135" s="27">
        <f t="shared" si="11"/>
        <v>0</v>
      </c>
    </row>
    <row r="136" spans="1:12" ht="39" customHeight="1" x14ac:dyDescent="0.25">
      <c r="A136" s="170" t="s">
        <v>444</v>
      </c>
      <c r="B136" s="122" t="s">
        <v>445</v>
      </c>
      <c r="C136" s="298" t="s">
        <v>3</v>
      </c>
      <c r="D136" s="439"/>
      <c r="E136" s="398">
        <f>J171</f>
        <v>0</v>
      </c>
      <c r="F136" s="191" t="s">
        <v>2832</v>
      </c>
      <c r="G136" s="16"/>
      <c r="H136" s="660"/>
      <c r="I136" s="1002" t="str">
        <f>IF(OR(E136&lt;&gt;"",E137&lt;&gt;"",E138&lt;&gt;"",E139&lt;&gt;"",E140&lt;&gt;""),IF(OR(E136&lt;0,E137&lt;0,E138&lt;0,E139&lt;0,E140&lt;0,E136+E137+E138+E139+E140&lt;&gt;E135),"Ogni di cui deve essere maggiore o uguale a zero e la somma deve essere pari a Car_dep",""),"")</f>
        <v/>
      </c>
      <c r="J136" s="16"/>
      <c r="K136" s="27"/>
      <c r="L136" s="27">
        <f t="shared" si="11"/>
        <v>0</v>
      </c>
    </row>
    <row r="137" spans="1:12" ht="39" customHeight="1" x14ac:dyDescent="0.25">
      <c r="A137" s="170" t="s">
        <v>446</v>
      </c>
      <c r="B137" s="122" t="s">
        <v>447</v>
      </c>
      <c r="C137" s="298" t="s">
        <v>3</v>
      </c>
      <c r="D137" s="439"/>
      <c r="E137" s="398">
        <f>J172</f>
        <v>0</v>
      </c>
      <c r="F137" s="191" t="s">
        <v>2832</v>
      </c>
      <c r="G137" s="16"/>
      <c r="H137" s="660"/>
      <c r="I137" s="1002"/>
      <c r="J137" s="16"/>
      <c r="K137" s="27"/>
      <c r="L137" s="27">
        <f t="shared" si="11"/>
        <v>0</v>
      </c>
    </row>
    <row r="138" spans="1:12" ht="36.75" customHeight="1" x14ac:dyDescent="0.25">
      <c r="A138" s="170" t="s">
        <v>448</v>
      </c>
      <c r="B138" s="122" t="s">
        <v>449</v>
      </c>
      <c r="C138" s="298" t="s">
        <v>3</v>
      </c>
      <c r="D138" s="439"/>
      <c r="E138" s="398">
        <f>J173</f>
        <v>0</v>
      </c>
      <c r="F138" s="191" t="s">
        <v>2832</v>
      </c>
      <c r="G138" s="16"/>
      <c r="H138" s="660"/>
      <c r="I138" s="1002"/>
      <c r="J138" s="16"/>
      <c r="K138" s="27"/>
      <c r="L138" s="27">
        <f t="shared" si="11"/>
        <v>0</v>
      </c>
    </row>
    <row r="139" spans="1:12" ht="36.75" customHeight="1" x14ac:dyDescent="0.25">
      <c r="A139" s="170" t="s">
        <v>450</v>
      </c>
      <c r="B139" s="122" t="s">
        <v>451</v>
      </c>
      <c r="C139" s="298" t="s">
        <v>3</v>
      </c>
      <c r="D139" s="439"/>
      <c r="E139" s="398">
        <f>J174</f>
        <v>0</v>
      </c>
      <c r="F139" s="191" t="s">
        <v>2832</v>
      </c>
      <c r="G139" s="16"/>
      <c r="H139" s="660"/>
      <c r="I139" s="1002"/>
      <c r="J139" s="16"/>
      <c r="K139" s="27"/>
      <c r="L139" s="27">
        <f t="shared" si="11"/>
        <v>0</v>
      </c>
    </row>
    <row r="140" spans="1:12" ht="42.75" customHeight="1" x14ac:dyDescent="0.25">
      <c r="A140" s="165" t="s">
        <v>2952</v>
      </c>
      <c r="B140" s="122" t="s">
        <v>2628</v>
      </c>
      <c r="C140" s="298" t="s">
        <v>3</v>
      </c>
      <c r="D140" s="439"/>
      <c r="E140" s="398">
        <f>J175</f>
        <v>0</v>
      </c>
      <c r="F140" s="191" t="s">
        <v>2832</v>
      </c>
      <c r="G140" s="16"/>
      <c r="H140" s="660"/>
      <c r="I140" s="1002"/>
      <c r="J140" s="16"/>
      <c r="K140" s="27"/>
      <c r="L140" s="27">
        <f t="shared" si="11"/>
        <v>0</v>
      </c>
    </row>
    <row r="141" spans="1:12" s="31" customFormat="1" ht="45" x14ac:dyDescent="0.25">
      <c r="A141" s="165" t="s">
        <v>2953</v>
      </c>
      <c r="B141" s="134" t="s">
        <v>440</v>
      </c>
      <c r="C141" s="298" t="s">
        <v>3</v>
      </c>
      <c r="D141" s="442"/>
      <c r="E141" s="398">
        <f>E135</f>
        <v>0</v>
      </c>
      <c r="F141" s="214"/>
      <c r="G141" s="16"/>
      <c r="H141" s="660"/>
      <c r="I141" s="671"/>
      <c r="J141" s="16"/>
      <c r="K141" s="27"/>
      <c r="L141" s="27">
        <f t="shared" ref="L141" si="14">IF(I141="",0,1)</f>
        <v>0</v>
      </c>
    </row>
    <row r="142" spans="1:12" ht="35.25" customHeight="1" x14ac:dyDescent="0.25">
      <c r="A142" s="165" t="s">
        <v>2954</v>
      </c>
      <c r="B142" s="152" t="s">
        <v>2827</v>
      </c>
      <c r="C142" s="298" t="s">
        <v>3</v>
      </c>
      <c r="D142" s="439"/>
      <c r="E142" s="398">
        <f>C176</f>
        <v>0</v>
      </c>
      <c r="F142" s="191" t="s">
        <v>2832</v>
      </c>
      <c r="G142" s="16"/>
      <c r="H142" s="660"/>
      <c r="I142" s="997" t="str">
        <f>IF(OR(E142&lt;&gt;"",E143&lt;&gt;"",E144&lt;&gt;"",E145&lt;&gt;"",E146&lt;&gt;"",E147&lt;&gt;"",E148&lt;&gt;""),IF(OR(E142&lt;0,E143&lt;0,E144&lt;0,E145&lt;0,E146&lt;0,E147&lt;0,E148&lt;0,E142+E143+E144+E145+E146+E147+E148&lt;&gt;E141),"Ogni di cui deve essere maggiore o uguale a zero e la somma deve essere pari a Cardep",""),"")</f>
        <v/>
      </c>
      <c r="J142" s="16"/>
      <c r="K142" s="27"/>
      <c r="L142" s="27">
        <f t="shared" ref="L142:L151" si="15">IF(I142="",0,1)</f>
        <v>0</v>
      </c>
    </row>
    <row r="143" spans="1:12" ht="37.5" customHeight="1" x14ac:dyDescent="0.25">
      <c r="A143" s="165" t="s">
        <v>2955</v>
      </c>
      <c r="B143" s="152" t="s">
        <v>2828</v>
      </c>
      <c r="C143" s="298" t="s">
        <v>3</v>
      </c>
      <c r="D143" s="439"/>
      <c r="E143" s="398">
        <f>D176</f>
        <v>0</v>
      </c>
      <c r="F143" s="191" t="s">
        <v>2832</v>
      </c>
      <c r="G143" s="16"/>
      <c r="H143" s="41"/>
      <c r="I143" s="998"/>
      <c r="J143" s="16"/>
      <c r="K143" s="27"/>
      <c r="L143" s="27">
        <f t="shared" si="15"/>
        <v>0</v>
      </c>
    </row>
    <row r="144" spans="1:12" ht="36.75" customHeight="1" x14ac:dyDescent="0.25">
      <c r="A144" s="165" t="s">
        <v>2956</v>
      </c>
      <c r="B144" s="152" t="s">
        <v>2829</v>
      </c>
      <c r="C144" s="298" t="s">
        <v>3</v>
      </c>
      <c r="D144" s="439"/>
      <c r="E144" s="398">
        <f>E176</f>
        <v>0</v>
      </c>
      <c r="F144" s="191" t="s">
        <v>2832</v>
      </c>
      <c r="G144" s="16"/>
      <c r="H144" s="41"/>
      <c r="I144" s="998"/>
      <c r="J144" s="16"/>
      <c r="K144" s="27"/>
      <c r="L144" s="27">
        <f t="shared" si="15"/>
        <v>0</v>
      </c>
    </row>
    <row r="145" spans="1:12" ht="40.5" customHeight="1" x14ac:dyDescent="0.25">
      <c r="A145" s="777" t="s">
        <v>3111</v>
      </c>
      <c r="B145" s="778" t="s">
        <v>3108</v>
      </c>
      <c r="C145" s="298" t="s">
        <v>3</v>
      </c>
      <c r="D145" s="439"/>
      <c r="E145" s="398">
        <f>F176</f>
        <v>0</v>
      </c>
      <c r="F145" s="191" t="s">
        <v>2832</v>
      </c>
      <c r="G145" s="16"/>
      <c r="H145" s="41"/>
      <c r="I145" s="998"/>
      <c r="J145" s="16"/>
      <c r="K145" s="27"/>
      <c r="L145" s="27">
        <f t="shared" si="15"/>
        <v>0</v>
      </c>
    </row>
    <row r="146" spans="1:12" ht="40.5" customHeight="1" x14ac:dyDescent="0.25">
      <c r="A146" s="777" t="s">
        <v>3112</v>
      </c>
      <c r="B146" s="778" t="s">
        <v>3110</v>
      </c>
      <c r="C146" s="298" t="s">
        <v>3</v>
      </c>
      <c r="D146" s="439"/>
      <c r="E146" s="398">
        <f>G176</f>
        <v>0</v>
      </c>
      <c r="F146" s="191" t="s">
        <v>2832</v>
      </c>
      <c r="G146" s="16"/>
      <c r="H146" s="41"/>
      <c r="I146" s="998"/>
      <c r="J146" s="16"/>
      <c r="K146" s="27"/>
      <c r="L146" s="27">
        <f t="shared" ref="L146" si="16">IF(I146="",0,1)</f>
        <v>0</v>
      </c>
    </row>
    <row r="147" spans="1:12" ht="35.25" customHeight="1" x14ac:dyDescent="0.25">
      <c r="A147" s="165" t="s">
        <v>2957</v>
      </c>
      <c r="B147" s="879" t="s">
        <v>3153</v>
      </c>
      <c r="C147" s="298" t="s">
        <v>3</v>
      </c>
      <c r="D147" s="439"/>
      <c r="E147" s="398">
        <f>H176</f>
        <v>0</v>
      </c>
      <c r="F147" s="191" t="s">
        <v>2832</v>
      </c>
      <c r="G147" s="16"/>
      <c r="H147" s="41"/>
      <c r="I147" s="998"/>
      <c r="J147" s="16"/>
      <c r="K147" s="27"/>
      <c r="L147" s="27">
        <f t="shared" si="15"/>
        <v>0</v>
      </c>
    </row>
    <row r="148" spans="1:12" ht="39" customHeight="1" x14ac:dyDescent="0.25">
      <c r="A148" s="165" t="s">
        <v>2958</v>
      </c>
      <c r="B148" s="152" t="s">
        <v>3154</v>
      </c>
      <c r="C148" s="298" t="s">
        <v>3</v>
      </c>
      <c r="D148" s="439"/>
      <c r="E148" s="398">
        <f>I176</f>
        <v>0</v>
      </c>
      <c r="F148" s="191" t="s">
        <v>2832</v>
      </c>
      <c r="G148" s="16"/>
      <c r="H148" s="658"/>
      <c r="I148" s="999"/>
      <c r="J148" s="16"/>
      <c r="K148" s="27"/>
      <c r="L148" s="27">
        <f t="shared" si="15"/>
        <v>0</v>
      </c>
    </row>
    <row r="149" spans="1:12" ht="30" customHeight="1" x14ac:dyDescent="0.25">
      <c r="A149" s="165" t="s">
        <v>2408</v>
      </c>
      <c r="B149" s="86" t="s">
        <v>576</v>
      </c>
      <c r="C149" s="298" t="s">
        <v>52</v>
      </c>
      <c r="D149" s="439"/>
      <c r="E149" s="381"/>
      <c r="F149" s="191"/>
      <c r="G149" s="16"/>
      <c r="H149" s="660"/>
      <c r="I149" s="670" t="str">
        <f>IF(E149&lt;0,"Il valore deve essere maggiore di zero","")</f>
        <v/>
      </c>
      <c r="J149" s="16"/>
      <c r="K149" s="27"/>
      <c r="L149" s="27">
        <f t="shared" si="15"/>
        <v>0</v>
      </c>
    </row>
    <row r="150" spans="1:12" ht="30" customHeight="1" x14ac:dyDescent="0.25">
      <c r="A150" s="165" t="s">
        <v>2409</v>
      </c>
      <c r="B150" s="86" t="s">
        <v>553</v>
      </c>
      <c r="C150" s="298" t="s">
        <v>52</v>
      </c>
      <c r="D150" s="439"/>
      <c r="E150" s="381"/>
      <c r="F150" s="191"/>
      <c r="G150" s="16"/>
      <c r="H150" s="660"/>
      <c r="I150" s="670" t="str">
        <f>IF(E150&lt;0,"Il valore deve essere maggiore o uguale a zero","")</f>
        <v/>
      </c>
      <c r="J150" s="16"/>
      <c r="K150" s="27"/>
      <c r="L150" s="27">
        <f t="shared" si="15"/>
        <v>0</v>
      </c>
    </row>
    <row r="151" spans="1:12" s="31" customFormat="1" ht="30" customHeight="1" x14ac:dyDescent="0.25">
      <c r="A151" s="165" t="s">
        <v>2844</v>
      </c>
      <c r="B151" s="127" t="s">
        <v>452</v>
      </c>
      <c r="C151" s="298" t="s">
        <v>52</v>
      </c>
      <c r="D151" s="439"/>
      <c r="E151" s="399"/>
      <c r="F151" s="191" t="s">
        <v>3023</v>
      </c>
      <c r="G151" s="16"/>
      <c r="H151" s="658"/>
      <c r="I151" s="669"/>
      <c r="J151" s="16"/>
      <c r="K151" s="27"/>
      <c r="L151" s="27">
        <f t="shared" si="15"/>
        <v>0</v>
      </c>
    </row>
    <row r="152" spans="1:12" s="31" customFormat="1" ht="25.35" customHeight="1" x14ac:dyDescent="0.25">
      <c r="A152" s="170" t="s">
        <v>453</v>
      </c>
      <c r="B152" s="122" t="s">
        <v>454</v>
      </c>
      <c r="C152" s="298" t="s">
        <v>52</v>
      </c>
      <c r="D152" s="439"/>
      <c r="E152" s="399"/>
      <c r="F152" s="191" t="s">
        <v>3023</v>
      </c>
      <c r="G152" s="16"/>
      <c r="H152" s="658"/>
      <c r="I152" s="669"/>
      <c r="J152" s="16"/>
      <c r="K152" s="27"/>
      <c r="L152" s="27">
        <f t="shared" si="11"/>
        <v>0</v>
      </c>
    </row>
    <row r="153" spans="1:12" s="31" customFormat="1" ht="25.35" customHeight="1" x14ac:dyDescent="0.25">
      <c r="A153" s="170" t="s">
        <v>455</v>
      </c>
      <c r="B153" s="122" t="s">
        <v>456</v>
      </c>
      <c r="C153" s="298" t="s">
        <v>52</v>
      </c>
      <c r="D153" s="439"/>
      <c r="E153" s="399"/>
      <c r="F153" s="191" t="s">
        <v>3023</v>
      </c>
      <c r="G153" s="16"/>
      <c r="H153" s="658"/>
      <c r="I153" s="669"/>
      <c r="J153" s="16"/>
      <c r="K153" s="27"/>
      <c r="L153" s="27">
        <f t="shared" si="11"/>
        <v>0</v>
      </c>
    </row>
    <row r="154" spans="1:12" s="31" customFormat="1" ht="30" x14ac:dyDescent="0.25">
      <c r="A154" s="165" t="s">
        <v>2410</v>
      </c>
      <c r="B154" s="241" t="s">
        <v>1612</v>
      </c>
      <c r="C154" s="298" t="s">
        <v>8</v>
      </c>
      <c r="D154" s="439"/>
      <c r="E154" s="381"/>
      <c r="F154" s="214"/>
      <c r="G154" s="16"/>
      <c r="H154" s="658"/>
      <c r="I154" s="666" t="str">
        <f>IF(OR(E154&lt;0,E154&gt;E120),"Il valore deve essere maggiore o uguale a zero e minore o uguale a Ndep","")</f>
        <v/>
      </c>
      <c r="J154" s="16"/>
      <c r="K154" s="27"/>
      <c r="L154" s="27">
        <f t="shared" si="11"/>
        <v>0</v>
      </c>
    </row>
    <row r="155" spans="1:12" s="31" customFormat="1" ht="45" x14ac:dyDescent="0.25">
      <c r="A155" s="165" t="s">
        <v>2411</v>
      </c>
      <c r="B155" s="241" t="s">
        <v>1613</v>
      </c>
      <c r="C155" s="298" t="s">
        <v>8</v>
      </c>
      <c r="D155" s="439"/>
      <c r="E155" s="381"/>
      <c r="F155" s="191" t="s">
        <v>1606</v>
      </c>
      <c r="G155" s="16"/>
      <c r="H155" s="658"/>
      <c r="I155" s="666" t="str">
        <f>IF(OR(E155&lt;0,E155&gt;E120),"Il valore deve essere maggiore o uguale a zero e minore o uguale a Ndep","")</f>
        <v/>
      </c>
      <c r="J155" s="16"/>
      <c r="K155" s="27"/>
      <c r="L155" s="27">
        <f t="shared" si="11"/>
        <v>0</v>
      </c>
    </row>
    <row r="156" spans="1:12" s="31" customFormat="1" ht="30" x14ac:dyDescent="0.25">
      <c r="A156" s="165" t="s">
        <v>2412</v>
      </c>
      <c r="B156" s="256" t="s">
        <v>588</v>
      </c>
      <c r="C156" s="298" t="s">
        <v>8</v>
      </c>
      <c r="D156" s="439"/>
      <c r="E156" s="381"/>
      <c r="F156" s="214"/>
      <c r="G156" s="16"/>
      <c r="H156" s="658"/>
      <c r="I156" s="666" t="str">
        <f>IF(OR(E156&lt;0,E156&gt;E155),"Il valore deve essere maggiore o uguale a zero e minore o uguale a Ndepdig_an","")</f>
        <v/>
      </c>
      <c r="J156" s="16"/>
      <c r="K156" s="27"/>
      <c r="L156" s="27">
        <f t="shared" si="11"/>
        <v>0</v>
      </c>
    </row>
    <row r="157" spans="1:12" s="31" customFormat="1" ht="32.85" customHeight="1" thickBot="1" x14ac:dyDescent="0.3">
      <c r="A157" s="257" t="s">
        <v>2413</v>
      </c>
      <c r="B157" s="258" t="s">
        <v>575</v>
      </c>
      <c r="C157" s="392" t="s">
        <v>8</v>
      </c>
      <c r="D157" s="448"/>
      <c r="E157" s="393"/>
      <c r="F157" s="215"/>
      <c r="G157" s="16"/>
      <c r="H157" s="658"/>
      <c r="I157" s="672" t="str">
        <f>IF(OR(E157&lt;0,E157&gt;E155),"Il valore deve essere maggiore o uguale a zero e minore o uguale a Ndepdig_an","")</f>
        <v/>
      </c>
      <c r="J157" s="16"/>
      <c r="K157" s="27"/>
      <c r="L157" s="27">
        <f t="shared" si="11"/>
        <v>0</v>
      </c>
    </row>
    <row r="158" spans="1:12" x14ac:dyDescent="0.25">
      <c r="B158" s="55"/>
    </row>
    <row r="159" spans="1:12" s="31" customFormat="1" ht="18" thickBot="1" x14ac:dyDescent="0.3">
      <c r="B159" s="32" t="s">
        <v>3115</v>
      </c>
      <c r="C159" s="73"/>
      <c r="D159" s="73"/>
      <c r="E159" s="73"/>
      <c r="F159" s="78"/>
      <c r="G159" s="79"/>
      <c r="H159" s="99"/>
      <c r="I159" s="99"/>
      <c r="J159" s="79"/>
      <c r="K159" s="27"/>
      <c r="L159" s="27"/>
    </row>
    <row r="160" spans="1:12" ht="30" x14ac:dyDescent="0.25">
      <c r="B160" s="320" t="s">
        <v>2822</v>
      </c>
      <c r="C160" s="285" t="s">
        <v>2817</v>
      </c>
      <c r="D160" s="285" t="s">
        <v>2818</v>
      </c>
      <c r="E160" s="285" t="s">
        <v>2819</v>
      </c>
      <c r="F160" s="779" t="s">
        <v>3113</v>
      </c>
      <c r="G160" s="779" t="s">
        <v>3114</v>
      </c>
      <c r="H160" s="285" t="s">
        <v>2820</v>
      </c>
      <c r="I160" s="285" t="s">
        <v>2821</v>
      </c>
      <c r="J160" s="286" t="s">
        <v>2816</v>
      </c>
    </row>
    <row r="161" spans="2:12" ht="21" customHeight="1" x14ac:dyDescent="0.25">
      <c r="B161" s="606" t="s">
        <v>2812</v>
      </c>
      <c r="C161" s="952"/>
      <c r="D161" s="953"/>
      <c r="E161" s="953"/>
      <c r="F161" s="953"/>
      <c r="G161" s="953"/>
      <c r="H161" s="953"/>
      <c r="I161" s="953"/>
      <c r="J161" s="328">
        <f>SUM(C161:I161)</f>
        <v>0</v>
      </c>
      <c r="K161" s="331" t="str">
        <f t="shared" ref="K161:K166" si="17">IF(SUM(C161:I161)&lt;&gt;J161,"La somma delle celle non restituisce il totale imputato","")</f>
        <v/>
      </c>
      <c r="L161" s="294">
        <f t="shared" ref="L161:L166" si="18">IF(SUM(C161:I161)&lt;&gt;J161,1,0)</f>
        <v>0</v>
      </c>
    </row>
    <row r="162" spans="2:12" ht="21" customHeight="1" x14ac:dyDescent="0.25">
      <c r="B162" s="606" t="s">
        <v>2813</v>
      </c>
      <c r="C162" s="952"/>
      <c r="D162" s="953"/>
      <c r="E162" s="953"/>
      <c r="F162" s="953"/>
      <c r="G162" s="953"/>
      <c r="H162" s="953"/>
      <c r="I162" s="953"/>
      <c r="J162" s="328">
        <f>SUM(C162:I162)</f>
        <v>0</v>
      </c>
      <c r="K162" s="331" t="str">
        <f t="shared" si="17"/>
        <v/>
      </c>
      <c r="L162" s="294">
        <f t="shared" si="18"/>
        <v>0</v>
      </c>
    </row>
    <row r="163" spans="2:12" ht="18.75" customHeight="1" x14ac:dyDescent="0.25">
      <c r="B163" s="606" t="s">
        <v>2814</v>
      </c>
      <c r="C163" s="952"/>
      <c r="D163" s="953"/>
      <c r="E163" s="953"/>
      <c r="F163" s="953"/>
      <c r="G163" s="953"/>
      <c r="H163" s="953"/>
      <c r="I163" s="953"/>
      <c r="J163" s="328">
        <f>SUM(C163:I163)</f>
        <v>0</v>
      </c>
      <c r="K163" s="331" t="str">
        <f t="shared" si="17"/>
        <v/>
      </c>
      <c r="L163" s="294">
        <f t="shared" si="18"/>
        <v>0</v>
      </c>
    </row>
    <row r="164" spans="2:12" ht="19.5" customHeight="1" x14ac:dyDescent="0.25">
      <c r="B164" s="606" t="s">
        <v>2815</v>
      </c>
      <c r="C164" s="952"/>
      <c r="D164" s="953"/>
      <c r="E164" s="953"/>
      <c r="F164" s="953"/>
      <c r="G164" s="953"/>
      <c r="H164" s="953"/>
      <c r="I164" s="953"/>
      <c r="J164" s="328">
        <f>SUM(C164:I164)</f>
        <v>0</v>
      </c>
      <c r="K164" s="331" t="str">
        <f t="shared" si="17"/>
        <v/>
      </c>
      <c r="L164" s="294">
        <f t="shared" si="18"/>
        <v>0</v>
      </c>
    </row>
    <row r="165" spans="2:12" ht="21" customHeight="1" x14ac:dyDescent="0.25">
      <c r="B165" s="606" t="s">
        <v>2823</v>
      </c>
      <c r="C165" s="952"/>
      <c r="D165" s="953"/>
      <c r="E165" s="953"/>
      <c r="F165" s="953"/>
      <c r="G165" s="953"/>
      <c r="H165" s="953"/>
      <c r="I165" s="953"/>
      <c r="J165" s="328">
        <f>SUM(C165:I165)</f>
        <v>0</v>
      </c>
      <c r="K165" s="331" t="str">
        <f t="shared" si="17"/>
        <v/>
      </c>
      <c r="L165" s="294">
        <f t="shared" si="18"/>
        <v>0</v>
      </c>
    </row>
    <row r="166" spans="2:12" ht="22.5" customHeight="1" thickBot="1" x14ac:dyDescent="0.3">
      <c r="B166" s="607" t="s">
        <v>2816</v>
      </c>
      <c r="C166" s="330">
        <f>SUM(C161:C165)</f>
        <v>0</v>
      </c>
      <c r="D166" s="330">
        <f t="shared" ref="D166:F166" si="19">SUM(D161:D165)</f>
        <v>0</v>
      </c>
      <c r="E166" s="330">
        <f t="shared" si="19"/>
        <v>0</v>
      </c>
      <c r="F166" s="330">
        <f t="shared" si="19"/>
        <v>0</v>
      </c>
      <c r="G166" s="330">
        <f>SUM(G161:G165)</f>
        <v>0</v>
      </c>
      <c r="H166" s="330">
        <f>SUM(H161:H165)</f>
        <v>0</v>
      </c>
      <c r="I166" s="330">
        <f>SUM(I161:I165)</f>
        <v>0</v>
      </c>
      <c r="J166" s="329">
        <f>E120</f>
        <v>0</v>
      </c>
      <c r="K166" s="331" t="str">
        <f t="shared" si="17"/>
        <v/>
      </c>
      <c r="L166" s="294">
        <f t="shared" si="18"/>
        <v>0</v>
      </c>
    </row>
    <row r="167" spans="2:12" ht="26.25" customHeight="1" x14ac:dyDescent="0.25">
      <c r="B167" s="55"/>
      <c r="C167" s="408" t="str">
        <f t="shared" ref="C167:F167" si="20">IF(SUM(C161:C165)&lt;&gt;C166,"La somma delle celle non restituisce il totale imputato","")</f>
        <v/>
      </c>
      <c r="D167" s="408" t="str">
        <f t="shared" si="20"/>
        <v/>
      </c>
      <c r="E167" s="408" t="str">
        <f t="shared" si="20"/>
        <v/>
      </c>
      <c r="F167" s="408" t="str">
        <f t="shared" si="20"/>
        <v/>
      </c>
      <c r="G167" s="408" t="str">
        <f>IF(SUM(G161:G165)&lt;&gt;G166,"La somma delle celle non restituisce il totale imputato","")</f>
        <v/>
      </c>
      <c r="H167" s="408" t="str">
        <f>IF(SUM(H161:H165)&lt;&gt;H166,"La somma delle celle non restituisce il totale imputato","")</f>
        <v/>
      </c>
      <c r="I167" s="409" t="str">
        <f>IF(SUM(I161:I165)&lt;&gt;I166,"La somma delle celle non restituisce il totale imputato","")</f>
        <v/>
      </c>
      <c r="J167" s="331"/>
      <c r="L167" s="294">
        <f>COUNTIF(C167:I167,"La somma delle celle non restituisce il totale imputato")</f>
        <v>0</v>
      </c>
    </row>
    <row r="168" spans="2:12" x14ac:dyDescent="0.25">
      <c r="B168" s="55"/>
    </row>
    <row r="169" spans="2:12" s="31" customFormat="1" ht="18" thickBot="1" x14ac:dyDescent="0.3">
      <c r="B169" s="32" t="s">
        <v>3116</v>
      </c>
      <c r="C169" s="73"/>
      <c r="D169" s="73"/>
      <c r="E169" s="73"/>
      <c r="F169" s="78"/>
      <c r="G169" s="79"/>
      <c r="H169" s="79"/>
      <c r="I169" s="99"/>
      <c r="J169" s="99"/>
      <c r="K169" s="27"/>
      <c r="L169" s="27"/>
    </row>
    <row r="170" spans="2:12" ht="30" x14ac:dyDescent="0.25">
      <c r="B170" s="320" t="s">
        <v>2822</v>
      </c>
      <c r="C170" s="285" t="s">
        <v>2817</v>
      </c>
      <c r="D170" s="285" t="s">
        <v>2818</v>
      </c>
      <c r="E170" s="285" t="s">
        <v>2819</v>
      </c>
      <c r="F170" s="779" t="s">
        <v>3113</v>
      </c>
      <c r="G170" s="779" t="s">
        <v>3114</v>
      </c>
      <c r="H170" s="285" t="s">
        <v>2820</v>
      </c>
      <c r="I170" s="285" t="s">
        <v>2821</v>
      </c>
      <c r="J170" s="286" t="s">
        <v>2816</v>
      </c>
    </row>
    <row r="171" spans="2:12" ht="21.75" customHeight="1" x14ac:dyDescent="0.25">
      <c r="B171" s="606" t="s">
        <v>2812</v>
      </c>
      <c r="C171" s="952"/>
      <c r="D171" s="952"/>
      <c r="E171" s="952"/>
      <c r="F171" s="952"/>
      <c r="G171" s="952"/>
      <c r="H171" s="952"/>
      <c r="I171" s="952"/>
      <c r="J171" s="328">
        <f>SUM(C171:I171)</f>
        <v>0</v>
      </c>
      <c r="K171" s="331" t="str">
        <f t="shared" ref="K171:K176" si="21">IF(SUM(C171:I171)&lt;&gt;J171,"La somma delle celle non restituisce il totale imputato","")</f>
        <v/>
      </c>
      <c r="L171" s="294">
        <f t="shared" ref="L171:L176" si="22">IF(SUM(C171:I171)&lt;&gt;J171,1,0)</f>
        <v>0</v>
      </c>
    </row>
    <row r="172" spans="2:12" ht="21.75" customHeight="1" x14ac:dyDescent="0.25">
      <c r="B172" s="606" t="s">
        <v>2813</v>
      </c>
      <c r="C172" s="952"/>
      <c r="D172" s="952"/>
      <c r="E172" s="952"/>
      <c r="F172" s="952"/>
      <c r="G172" s="952"/>
      <c r="H172" s="952"/>
      <c r="I172" s="952"/>
      <c r="J172" s="328">
        <f>SUM(C172:I172)</f>
        <v>0</v>
      </c>
      <c r="K172" s="331" t="str">
        <f t="shared" si="21"/>
        <v/>
      </c>
      <c r="L172" s="294">
        <f t="shared" si="22"/>
        <v>0</v>
      </c>
    </row>
    <row r="173" spans="2:12" ht="21.75" customHeight="1" x14ac:dyDescent="0.25">
      <c r="B173" s="606" t="s">
        <v>2814</v>
      </c>
      <c r="C173" s="952"/>
      <c r="D173" s="952"/>
      <c r="E173" s="952"/>
      <c r="F173" s="952"/>
      <c r="G173" s="952"/>
      <c r="H173" s="952"/>
      <c r="I173" s="952"/>
      <c r="J173" s="328">
        <f>SUM(C173:I173)</f>
        <v>0</v>
      </c>
      <c r="K173" s="331" t="str">
        <f t="shared" si="21"/>
        <v/>
      </c>
      <c r="L173" s="294">
        <f t="shared" si="22"/>
        <v>0</v>
      </c>
    </row>
    <row r="174" spans="2:12" ht="22.5" customHeight="1" x14ac:dyDescent="0.25">
      <c r="B174" s="606" t="s">
        <v>2815</v>
      </c>
      <c r="C174" s="952"/>
      <c r="D174" s="952"/>
      <c r="E174" s="952"/>
      <c r="F174" s="952"/>
      <c r="G174" s="952"/>
      <c r="H174" s="952"/>
      <c r="I174" s="952"/>
      <c r="J174" s="328">
        <f>SUM(C174:I174)</f>
        <v>0</v>
      </c>
      <c r="K174" s="331" t="str">
        <f t="shared" si="21"/>
        <v/>
      </c>
      <c r="L174" s="294">
        <f t="shared" si="22"/>
        <v>0</v>
      </c>
    </row>
    <row r="175" spans="2:12" ht="23.25" customHeight="1" x14ac:dyDescent="0.25">
      <c r="B175" s="606" t="s">
        <v>2823</v>
      </c>
      <c r="C175" s="952"/>
      <c r="D175" s="952"/>
      <c r="E175" s="952"/>
      <c r="F175" s="952"/>
      <c r="G175" s="952"/>
      <c r="H175" s="952"/>
      <c r="I175" s="952"/>
      <c r="J175" s="328">
        <f>SUM(C175:I175)</f>
        <v>0</v>
      </c>
      <c r="K175" s="331" t="str">
        <f t="shared" si="21"/>
        <v/>
      </c>
      <c r="L175" s="294">
        <f t="shared" si="22"/>
        <v>0</v>
      </c>
    </row>
    <row r="176" spans="2:12" ht="24" customHeight="1" thickBot="1" x14ac:dyDescent="0.3">
      <c r="B176" s="607" t="s">
        <v>2816</v>
      </c>
      <c r="C176" s="330">
        <f>SUM(C171:C175)</f>
        <v>0</v>
      </c>
      <c r="D176" s="330">
        <f t="shared" ref="D176:F176" si="23">SUM(D171:D175)</f>
        <v>0</v>
      </c>
      <c r="E176" s="330">
        <f t="shared" si="23"/>
        <v>0</v>
      </c>
      <c r="F176" s="330">
        <f t="shared" si="23"/>
        <v>0</v>
      </c>
      <c r="G176" s="330">
        <f>SUM(G171:G175)</f>
        <v>0</v>
      </c>
      <c r="H176" s="330">
        <f>SUM(H171:H175)</f>
        <v>0</v>
      </c>
      <c r="I176" s="330">
        <f>SUM(I171:I175)</f>
        <v>0</v>
      </c>
      <c r="J176" s="329">
        <f>E135</f>
        <v>0</v>
      </c>
      <c r="K176" s="331" t="str">
        <f t="shared" si="21"/>
        <v/>
      </c>
      <c r="L176" s="294">
        <f t="shared" si="22"/>
        <v>0</v>
      </c>
    </row>
    <row r="177" spans="1:12" ht="26.25" customHeight="1" x14ac:dyDescent="0.25">
      <c r="B177" s="55"/>
      <c r="C177" s="408" t="str">
        <f t="shared" ref="C177" si="24">IF(SUM(C171:C175)&lt;&gt;C176,"La somma delle celle non restituisce il totale imputato","")</f>
        <v/>
      </c>
      <c r="D177" s="408" t="str">
        <f t="shared" ref="D177" si="25">IF(SUM(D171:D175)&lt;&gt;D176,"La somma delle celle non restituisce il totale imputato","")</f>
        <v/>
      </c>
      <c r="E177" s="408" t="str">
        <f t="shared" ref="E177" si="26">IF(SUM(E171:E175)&lt;&gt;E176,"La somma delle celle non restituisce il totale imputato","")</f>
        <v/>
      </c>
      <c r="F177" s="408" t="str">
        <f t="shared" ref="F177" si="27">IF(SUM(F171:F175)&lt;&gt;F176,"La somma delle celle non restituisce il totale imputato","")</f>
        <v/>
      </c>
      <c r="G177" s="408" t="str">
        <f t="shared" ref="G177:H177" si="28">IF(SUM(G171:G175)&lt;&gt;G176,"La somma delle celle non restituisce il totale imputato","")</f>
        <v/>
      </c>
      <c r="H177" s="408" t="str">
        <f t="shared" si="28"/>
        <v/>
      </c>
      <c r="I177" s="408" t="str">
        <f>IF(SUM(I171:I175)&lt;&gt;I176,"La somma delle celle non restituisce il totale imputato","")</f>
        <v/>
      </c>
      <c r="J177" s="331"/>
      <c r="L177" s="294">
        <f>COUNTIF(C177:I177,"La somma delle celle non restituisce il totale imputato")</f>
        <v>0</v>
      </c>
    </row>
    <row r="178" spans="1:12" x14ac:dyDescent="0.25">
      <c r="B178" s="55"/>
    </row>
    <row r="179" spans="1:12" x14ac:dyDescent="0.25">
      <c r="B179" s="55"/>
    </row>
    <row r="183" spans="1:12" x14ac:dyDescent="0.25">
      <c r="B183" s="164"/>
    </row>
    <row r="184" spans="1:12" x14ac:dyDescent="0.25">
      <c r="B184" s="62" t="s">
        <v>0</v>
      </c>
    </row>
    <row r="188" spans="1:12" ht="48" customHeight="1" x14ac:dyDescent="0.25"/>
    <row r="189" spans="1:12" ht="48" customHeight="1" x14ac:dyDescent="0.25"/>
    <row r="191" spans="1:12" x14ac:dyDescent="0.25">
      <c r="A191" s="50"/>
    </row>
  </sheetData>
  <sheetProtection algorithmName="SHA-512" hashValue="YKsOvO/pIHSvUaniky+8bFyABKXKNNTBmiuoZNsGCKc/QTpMJXbjpBaSgtscOhTAyHrRthPneqpEu5PNrqyZVQ==" saltValue="5GFWKVUa5USbbwaJnlGP9w==" spinCount="100000" sheet="1" objects="1" scenarios="1"/>
  <mergeCells count="21">
    <mergeCell ref="I69:I74"/>
    <mergeCell ref="H40:H41"/>
    <mergeCell ref="I40:I41"/>
    <mergeCell ref="I54:I57"/>
    <mergeCell ref="I59:I61"/>
    <mergeCell ref="H15:H17"/>
    <mergeCell ref="I15:I17"/>
    <mergeCell ref="H22:H23"/>
    <mergeCell ref="I22:I23"/>
    <mergeCell ref="I35:I38"/>
    <mergeCell ref="I142:I148"/>
    <mergeCell ref="I86:I91"/>
    <mergeCell ref="H96:H97"/>
    <mergeCell ref="I96:I97"/>
    <mergeCell ref="I113:I114"/>
    <mergeCell ref="I105:I111"/>
    <mergeCell ref="H116:H117"/>
    <mergeCell ref="I116:I117"/>
    <mergeCell ref="I121:I125"/>
    <mergeCell ref="I136:I140"/>
    <mergeCell ref="I127:I133"/>
  </mergeCells>
  <conditionalFormatting sqref="L2">
    <cfRule type="cellIs" dxfId="19" priority="1" operator="lessThanOrEqual">
      <formula>0</formula>
    </cfRule>
    <cfRule type="cellIs" dxfId="18" priority="2" operator="greaterThan">
      <formula>0</formula>
    </cfRule>
  </conditionalFormatting>
  <dataValidations disablePrompts="1" count="1">
    <dataValidation type="list" allowBlank="1" showInputMessage="1" showErrorMessage="1" sqref="E10" xr:uid="{89293454-4DB4-46A3-9F6D-931696D03DE1}">
      <formula1>$B$183:$B$184</formula1>
    </dataValidation>
  </dataValidations>
  <pageMargins left="0.59055118110236227" right="0.23622047244094491" top="0.31496062992125984" bottom="0.35433070866141736" header="0.15748031496062992" footer="0.19685039370078741"/>
  <pageSetup paperSize="8" scale="4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3DD2B-B9C7-4498-BCE7-2620719DB229}">
  <sheetPr>
    <tabColor theme="3"/>
    <pageSetUpPr fitToPage="1"/>
  </sheetPr>
  <dimension ref="A1:M121"/>
  <sheetViews>
    <sheetView showGridLines="0" tabSelected="1" zoomScale="80" zoomScaleNormal="80" workbookViewId="0">
      <pane xSplit="3" ySplit="2" topLeftCell="E49" activePane="bottomRight" state="frozen"/>
      <selection activeCell="B4" sqref="B4"/>
      <selection pane="topRight" activeCell="B4" sqref="B4"/>
      <selection pane="bottomLeft" activeCell="B4" sqref="B4"/>
      <selection pane="bottomRight" activeCell="I56" sqref="I56"/>
    </sheetView>
  </sheetViews>
  <sheetFormatPr defaultColWidth="8.85546875" defaultRowHeight="15" x14ac:dyDescent="0.25"/>
  <cols>
    <col min="1" max="1" width="16" customWidth="1"/>
    <col min="2" max="2" width="50.85546875" style="50" customWidth="1"/>
    <col min="3" max="3" width="9.85546875" customWidth="1"/>
    <col min="4" max="4" width="14.85546875" hidden="1" customWidth="1"/>
    <col min="5" max="5" width="14.85546875" customWidth="1"/>
    <col min="6" max="6" width="50.85546875" style="19" customWidth="1"/>
    <col min="7" max="7" width="2.85546875" style="19" customWidth="1"/>
    <col min="8" max="8" width="25.85546875" style="19" hidden="1" customWidth="1"/>
    <col min="9" max="9" width="25.85546875" style="19" customWidth="1"/>
    <col min="10" max="10" width="2.85546875" style="19" customWidth="1"/>
    <col min="11" max="11" width="20.85546875" style="38" hidden="1" customWidth="1"/>
    <col min="12" max="12" width="20.85546875" style="38" customWidth="1"/>
  </cols>
  <sheetData>
    <row r="1" spans="1:12" ht="69.95" customHeight="1" thickBot="1" x14ac:dyDescent="0.3">
      <c r="A1" s="16"/>
      <c r="B1" s="17" t="s">
        <v>2345</v>
      </c>
      <c r="C1" s="16"/>
      <c r="D1" s="18"/>
      <c r="E1" s="18"/>
      <c r="K1" s="509"/>
      <c r="L1" s="210" t="s">
        <v>3089</v>
      </c>
    </row>
    <row r="2" spans="1:12" ht="70.349999999999994" customHeight="1" thickBot="1" x14ac:dyDescent="0.3">
      <c r="A2" s="284" t="s">
        <v>41</v>
      </c>
      <c r="B2" s="285" t="s">
        <v>42</v>
      </c>
      <c r="C2" s="286" t="s">
        <v>7</v>
      </c>
      <c r="D2" s="534"/>
      <c r="E2" s="288" t="s">
        <v>3087</v>
      </c>
      <c r="F2" s="23" t="s">
        <v>9</v>
      </c>
      <c r="H2" s="540"/>
      <c r="I2" s="287" t="s">
        <v>3088</v>
      </c>
      <c r="K2" s="510"/>
      <c r="L2" s="211">
        <f>SUM(L3:L90)</f>
        <v>0</v>
      </c>
    </row>
    <row r="3" spans="1:12" ht="32.1" customHeight="1" x14ac:dyDescent="0.25">
      <c r="A3" s="677" t="s">
        <v>10</v>
      </c>
      <c r="B3" s="678" t="s">
        <v>3034</v>
      </c>
      <c r="C3" s="679" t="s">
        <v>1</v>
      </c>
      <c r="D3" s="535"/>
      <c r="E3" s="744">
        <f>'QT-Acquedotto'!E3</f>
        <v>0</v>
      </c>
      <c r="F3" s="1"/>
      <c r="H3" s="519"/>
      <c r="I3" s="208"/>
      <c r="K3" s="27"/>
      <c r="L3" s="27">
        <f t="shared" ref="L3:L7" si="0">IF(I3="",0,1)</f>
        <v>0</v>
      </c>
    </row>
    <row r="4" spans="1:12" ht="32.1" customHeight="1" x14ac:dyDescent="0.25">
      <c r="A4" s="677" t="s">
        <v>20</v>
      </c>
      <c r="B4" s="678" t="s">
        <v>3033</v>
      </c>
      <c r="C4" s="679" t="s">
        <v>1</v>
      </c>
      <c r="D4" s="535"/>
      <c r="E4" s="744">
        <f>'QT-Fognatura'!E3</f>
        <v>0</v>
      </c>
      <c r="F4" s="1"/>
      <c r="G4"/>
      <c r="H4" s="541"/>
      <c r="I4" s="227"/>
      <c r="J4"/>
      <c r="K4" s="27"/>
      <c r="L4" s="27">
        <f t="shared" si="0"/>
        <v>0</v>
      </c>
    </row>
    <row r="5" spans="1:12" ht="30" customHeight="1" x14ac:dyDescent="0.25">
      <c r="A5" s="677" t="s">
        <v>29</v>
      </c>
      <c r="B5" s="678" t="s">
        <v>30</v>
      </c>
      <c r="C5" s="680" t="s">
        <v>1</v>
      </c>
      <c r="D5" s="535"/>
      <c r="E5" s="744">
        <f>'QT-Depurazione'!E3</f>
        <v>0</v>
      </c>
      <c r="F5" s="1"/>
      <c r="G5" s="93"/>
      <c r="H5" s="541"/>
      <c r="I5" s="227"/>
      <c r="J5" s="93"/>
      <c r="K5" s="27"/>
      <c r="L5" s="27">
        <f t="shared" si="0"/>
        <v>0</v>
      </c>
    </row>
    <row r="6" spans="1:12" ht="42.6" customHeight="1" x14ac:dyDescent="0.25">
      <c r="A6" s="681" t="s">
        <v>2551</v>
      </c>
      <c r="B6" s="682" t="s">
        <v>2465</v>
      </c>
      <c r="C6" s="683" t="s">
        <v>1</v>
      </c>
      <c r="D6" s="535"/>
      <c r="E6" s="556"/>
      <c r="F6" s="277" t="s">
        <v>2464</v>
      </c>
      <c r="H6" s="542"/>
      <c r="I6" s="207"/>
      <c r="K6" s="27"/>
      <c r="L6" s="27">
        <f t="shared" si="0"/>
        <v>0</v>
      </c>
    </row>
    <row r="7" spans="1:12" ht="42.6" customHeight="1" thickBot="1" x14ac:dyDescent="0.3">
      <c r="A7" s="684" t="s">
        <v>2552</v>
      </c>
      <c r="B7" s="685" t="s">
        <v>2556</v>
      </c>
      <c r="C7" s="686" t="s">
        <v>1</v>
      </c>
      <c r="D7" s="536"/>
      <c r="E7" s="557"/>
      <c r="F7" s="5" t="s">
        <v>2851</v>
      </c>
      <c r="H7" s="543"/>
      <c r="I7" s="420" t="str">
        <f>IF(AND(E6="SI",E7=""),"Indicare codici ID_ARERA dei grossisti considerati","")</f>
        <v/>
      </c>
      <c r="K7" s="27"/>
      <c r="L7" s="27">
        <f t="shared" si="0"/>
        <v>0</v>
      </c>
    </row>
    <row r="8" spans="1:12" x14ac:dyDescent="0.25">
      <c r="K8" s="27"/>
      <c r="L8" s="27"/>
    </row>
    <row r="9" spans="1:12" ht="18" thickBot="1" x14ac:dyDescent="0.3">
      <c r="A9" s="32" t="s">
        <v>3189</v>
      </c>
      <c r="B9" s="29"/>
      <c r="C9" s="28"/>
      <c r="D9" s="28"/>
      <c r="E9" s="28"/>
      <c r="F9" s="136"/>
      <c r="H9" s="30"/>
      <c r="I9" s="30"/>
      <c r="K9" s="27"/>
      <c r="L9" s="27"/>
    </row>
    <row r="10" spans="1:12" ht="45" x14ac:dyDescent="0.25">
      <c r="A10" s="578" t="s">
        <v>2959</v>
      </c>
      <c r="B10" s="579" t="s">
        <v>2462</v>
      </c>
      <c r="C10" s="580" t="s">
        <v>1</v>
      </c>
      <c r="D10" s="537"/>
      <c r="E10" s="259"/>
      <c r="F10" s="190" t="s">
        <v>3025</v>
      </c>
      <c r="H10" s="519"/>
      <c r="I10" s="206" t="str">
        <f>IF(AND(E$3="SI",OR(E10="Non adeguato",E10="")),"Attenzione, prerequisito mancante","")</f>
        <v/>
      </c>
      <c r="K10" s="27"/>
      <c r="L10" s="27">
        <f t="shared" ref="L10:L90" si="1">IF(I10="",0,1)</f>
        <v>0</v>
      </c>
    </row>
    <row r="11" spans="1:12" ht="45.75" thickBot="1" x14ac:dyDescent="0.3">
      <c r="A11" s="560" t="s">
        <v>2960</v>
      </c>
      <c r="B11" s="561" t="s">
        <v>2463</v>
      </c>
      <c r="C11" s="581" t="s">
        <v>1</v>
      </c>
      <c r="D11" s="538"/>
      <c r="E11" s="338"/>
      <c r="F11" s="192" t="s">
        <v>3035</v>
      </c>
      <c r="H11" s="529"/>
      <c r="I11" s="209"/>
      <c r="K11" s="27"/>
      <c r="L11" s="27">
        <f t="shared" si="1"/>
        <v>0</v>
      </c>
    </row>
    <row r="12" spans="1:12" x14ac:dyDescent="0.25">
      <c r="K12" s="27"/>
      <c r="L12" s="27"/>
    </row>
    <row r="13" spans="1:12" ht="18" thickBot="1" x14ac:dyDescent="0.3">
      <c r="A13" s="276" t="s">
        <v>2965</v>
      </c>
      <c r="B13" s="608"/>
      <c r="C13" s="28"/>
      <c r="D13" s="28"/>
      <c r="E13" s="28"/>
      <c r="F13" s="136"/>
      <c r="H13" s="30"/>
      <c r="I13" s="30"/>
      <c r="K13" s="27"/>
      <c r="L13" s="27"/>
    </row>
    <row r="14" spans="1:12" ht="32.1" customHeight="1" x14ac:dyDescent="0.25">
      <c r="A14" s="33" t="s">
        <v>2466</v>
      </c>
      <c r="B14" s="587" t="s">
        <v>2808</v>
      </c>
      <c r="C14" s="588" t="s">
        <v>52</v>
      </c>
      <c r="D14" s="539"/>
      <c r="E14" s="745">
        <f>E15+E16+E17+E18+E19</f>
        <v>0</v>
      </c>
      <c r="F14" s="2"/>
      <c r="H14" s="519"/>
      <c r="I14" s="208"/>
      <c r="K14" s="27"/>
      <c r="L14" s="27">
        <f t="shared" si="1"/>
        <v>0</v>
      </c>
    </row>
    <row r="15" spans="1:12" ht="32.1" customHeight="1" x14ac:dyDescent="0.25">
      <c r="A15" s="589" t="s">
        <v>2471</v>
      </c>
      <c r="B15" s="590" t="s">
        <v>2492</v>
      </c>
      <c r="C15" s="591" t="s">
        <v>52</v>
      </c>
      <c r="D15" s="585"/>
      <c r="E15" s="586"/>
      <c r="F15" s="277" t="s">
        <v>2544</v>
      </c>
      <c r="H15" s="520"/>
      <c r="I15" s="412" t="str">
        <f t="shared" ref="I15:I18" si="2">IF(E15&lt;0,"Il valore deve essere maggiore o uguale a zero","")</f>
        <v/>
      </c>
      <c r="K15" s="27"/>
      <c r="L15" s="27">
        <f t="shared" si="1"/>
        <v>0</v>
      </c>
    </row>
    <row r="16" spans="1:12" ht="32.1" customHeight="1" x14ac:dyDescent="0.25">
      <c r="A16" s="589" t="s">
        <v>2472</v>
      </c>
      <c r="B16" s="590" t="s">
        <v>2493</v>
      </c>
      <c r="C16" s="591" t="s">
        <v>52</v>
      </c>
      <c r="D16" s="585"/>
      <c r="E16" s="586"/>
      <c r="F16" s="277" t="s">
        <v>2544</v>
      </c>
      <c r="H16" s="520"/>
      <c r="I16" s="412" t="str">
        <f t="shared" si="2"/>
        <v/>
      </c>
      <c r="K16" s="27"/>
      <c r="L16" s="27">
        <f t="shared" si="1"/>
        <v>0</v>
      </c>
    </row>
    <row r="17" spans="1:13" ht="32.1" customHeight="1" x14ac:dyDescent="0.25">
      <c r="A17" s="589" t="s">
        <v>2473</v>
      </c>
      <c r="B17" s="590" t="s">
        <v>2494</v>
      </c>
      <c r="C17" s="591" t="s">
        <v>52</v>
      </c>
      <c r="D17" s="585"/>
      <c r="E17" s="586"/>
      <c r="F17" s="277" t="s">
        <v>2544</v>
      </c>
      <c r="H17" s="520"/>
      <c r="I17" s="412" t="str">
        <f t="shared" si="2"/>
        <v/>
      </c>
      <c r="K17" s="27"/>
      <c r="L17" s="27">
        <f t="shared" si="1"/>
        <v>0</v>
      </c>
    </row>
    <row r="18" spans="1:13" ht="32.1" customHeight="1" x14ac:dyDescent="0.25">
      <c r="A18" s="589" t="s">
        <v>2474</v>
      </c>
      <c r="B18" s="590" t="s">
        <v>2495</v>
      </c>
      <c r="C18" s="591" t="s">
        <v>52</v>
      </c>
      <c r="D18" s="585"/>
      <c r="E18" s="586"/>
      <c r="F18" s="277" t="s">
        <v>2545</v>
      </c>
      <c r="H18" s="520"/>
      <c r="I18" s="412" t="str">
        <f t="shared" si="2"/>
        <v/>
      </c>
      <c r="K18" s="27"/>
      <c r="L18" s="27">
        <f t="shared" si="1"/>
        <v>0</v>
      </c>
    </row>
    <row r="19" spans="1:13" ht="32.1" customHeight="1" x14ac:dyDescent="0.25">
      <c r="A19" s="589" t="s">
        <v>2475</v>
      </c>
      <c r="B19" s="590" t="s">
        <v>2496</v>
      </c>
      <c r="C19" s="591" t="s">
        <v>52</v>
      </c>
      <c r="D19" s="585"/>
      <c r="E19" s="610">
        <f>'QT-Depurazione'!E134</f>
        <v>0</v>
      </c>
      <c r="F19" s="277" t="s">
        <v>2602</v>
      </c>
      <c r="H19" s="520"/>
      <c r="I19" s="412" t="str">
        <f>IF(E19&lt;&gt;'QT-Depurazione'!E134,"Il valore risulta diverso da WDEP,r2 riportato nel foglio QT-Depurazione: motivare in relazione","")</f>
        <v/>
      </c>
      <c r="K19" s="294"/>
      <c r="L19" s="27">
        <f t="shared" si="1"/>
        <v>0</v>
      </c>
    </row>
    <row r="20" spans="1:13" ht="32.1" customHeight="1" x14ac:dyDescent="0.25">
      <c r="A20" s="589" t="s">
        <v>2966</v>
      </c>
      <c r="B20" s="754" t="s">
        <v>2553</v>
      </c>
      <c r="C20" s="26" t="s">
        <v>52</v>
      </c>
      <c r="D20" s="585"/>
      <c r="E20" s="592"/>
      <c r="F20" s="1"/>
      <c r="H20" s="520"/>
      <c r="I20" s="412" t="str">
        <f t="shared" ref="I20" si="3">IF(E20&lt;0,"Il valore deve essere maggiore o uguale a zero","")</f>
        <v/>
      </c>
      <c r="K20" s="294"/>
      <c r="L20" s="27">
        <f t="shared" si="1"/>
        <v>0</v>
      </c>
      <c r="M20" s="292"/>
    </row>
    <row r="21" spans="1:13" ht="44.25" customHeight="1" x14ac:dyDescent="0.25">
      <c r="A21" s="589" t="s">
        <v>2833</v>
      </c>
      <c r="B21" s="593" t="s">
        <v>2557</v>
      </c>
      <c r="C21" s="591" t="s">
        <v>52</v>
      </c>
      <c r="D21" s="585"/>
      <c r="E21" s="586"/>
      <c r="F21" s="1" t="s">
        <v>2961</v>
      </c>
      <c r="H21" s="520"/>
      <c r="I21" s="412" t="str">
        <f>IF(E21&lt;&gt;'QT-Acquedotto'!E29,"Il valore risulta diverso da Wimp riportato nel foglio QT-Acquedotto: motivare in relazione","")</f>
        <v/>
      </c>
      <c r="K21" s="294"/>
      <c r="L21" s="294">
        <f t="shared" si="1"/>
        <v>0</v>
      </c>
      <c r="M21" s="292"/>
    </row>
    <row r="22" spans="1:13" ht="41.25" customHeight="1" x14ac:dyDescent="0.25">
      <c r="A22" s="589" t="s">
        <v>2834</v>
      </c>
      <c r="B22" s="593" t="s">
        <v>2558</v>
      </c>
      <c r="C22" s="591" t="s">
        <v>52</v>
      </c>
      <c r="D22" s="585"/>
      <c r="E22" s="586"/>
      <c r="F22" s="1" t="s">
        <v>2962</v>
      </c>
      <c r="H22" s="520"/>
      <c r="I22" s="412" t="str">
        <f>IF(E22&lt;&gt;'QT-Acquedotto'!E33,"Il valore risulta diverso da Wesp riportato nel foglio QT-Acquedotto: motivare in relazione","")</f>
        <v/>
      </c>
      <c r="K22" s="294"/>
      <c r="L22" s="294">
        <f t="shared" si="1"/>
        <v>0</v>
      </c>
      <c r="M22" s="292"/>
    </row>
    <row r="23" spans="1:13" s="31" customFormat="1" ht="45" x14ac:dyDescent="0.25">
      <c r="A23" s="589" t="s">
        <v>2476</v>
      </c>
      <c r="B23" s="593" t="s">
        <v>2497</v>
      </c>
      <c r="C23" s="591" t="s">
        <v>52</v>
      </c>
      <c r="D23" s="582"/>
      <c r="E23" s="583">
        <f>E21+E22</f>
        <v>0</v>
      </c>
      <c r="F23" s="1"/>
      <c r="G23" s="19"/>
      <c r="H23" s="523"/>
      <c r="I23" s="584"/>
      <c r="J23" s="19"/>
      <c r="K23" s="294"/>
      <c r="L23" s="294">
        <f t="shared" si="1"/>
        <v>0</v>
      </c>
      <c r="M23" s="293"/>
    </row>
    <row r="24" spans="1:13" s="31" customFormat="1" ht="41.25" customHeight="1" x14ac:dyDescent="0.25">
      <c r="A24" s="589" t="s">
        <v>2963</v>
      </c>
      <c r="B24" s="593" t="s">
        <v>2964</v>
      </c>
      <c r="C24" s="591" t="s">
        <v>52</v>
      </c>
      <c r="D24" s="594"/>
      <c r="E24" s="595">
        <f>'QT-Acquedotto'!E28</f>
        <v>0</v>
      </c>
      <c r="F24" s="277" t="s">
        <v>3036</v>
      </c>
      <c r="G24" s="19"/>
      <c r="H24" s="520"/>
      <c r="I24" s="412" t="str">
        <f>IF(E24&lt;&gt;'QT-Acquedotto'!E28,"Motivare in relazione","")</f>
        <v/>
      </c>
      <c r="J24" s="19"/>
      <c r="K24" s="294"/>
      <c r="L24" s="294">
        <f t="shared" si="1"/>
        <v>0</v>
      </c>
      <c r="M24" s="293"/>
    </row>
    <row r="25" spans="1:13" s="31" customFormat="1" ht="30" customHeight="1" thickBot="1" x14ac:dyDescent="0.3">
      <c r="A25" s="611" t="s">
        <v>2468</v>
      </c>
      <c r="B25" s="612" t="s">
        <v>2469</v>
      </c>
      <c r="C25" s="596" t="s">
        <v>1</v>
      </c>
      <c r="D25" s="597"/>
      <c r="E25" s="598" t="str">
        <f>IF(AND(E15="",E16="",E17="",E18="",E19=0,E21=0),"",(E24-E22)/(E14+E20+E21))</f>
        <v/>
      </c>
      <c r="F25" s="5" t="s">
        <v>2470</v>
      </c>
      <c r="G25" s="19"/>
      <c r="H25" s="521"/>
      <c r="I25" s="325" t="str">
        <f>IF(AND(E$3="SI",E25=""),"Indicatore non calcolabile","")</f>
        <v/>
      </c>
      <c r="J25" s="19"/>
      <c r="K25" s="294"/>
      <c r="L25" s="294">
        <f t="shared" si="1"/>
        <v>0</v>
      </c>
      <c r="M25" s="293"/>
    </row>
    <row r="26" spans="1:13" x14ac:dyDescent="0.25">
      <c r="K26" s="27"/>
      <c r="L26" s="27"/>
    </row>
    <row r="27" spans="1:13" ht="18" thickBot="1" x14ac:dyDescent="0.3">
      <c r="A27" s="276" t="s">
        <v>2976</v>
      </c>
      <c r="B27" s="608"/>
      <c r="C27" s="28"/>
      <c r="D27" s="28"/>
      <c r="E27" s="28"/>
      <c r="F27" s="136"/>
      <c r="H27" s="30"/>
      <c r="I27" s="30"/>
      <c r="K27" s="27"/>
      <c r="L27" s="27"/>
    </row>
    <row r="28" spans="1:13" s="31" customFormat="1" ht="60.75" customHeight="1" x14ac:dyDescent="0.25">
      <c r="A28" s="33" t="s">
        <v>2967</v>
      </c>
      <c r="B28" s="587" t="s">
        <v>3052</v>
      </c>
      <c r="C28" s="756" t="s">
        <v>1</v>
      </c>
      <c r="D28" s="609"/>
      <c r="E28" s="222"/>
      <c r="F28" s="2" t="s">
        <v>3037</v>
      </c>
      <c r="G28" s="19"/>
      <c r="H28" s="519"/>
      <c r="I28" s="207"/>
      <c r="J28" s="19"/>
      <c r="K28" s="294"/>
      <c r="L28" s="294">
        <f t="shared" si="1"/>
        <v>0</v>
      </c>
      <c r="M28" s="293"/>
    </row>
    <row r="29" spans="1:13" s="31" customFormat="1" ht="36" customHeight="1" x14ac:dyDescent="0.25">
      <c r="A29" s="589" t="s">
        <v>2977</v>
      </c>
      <c r="B29" s="593" t="s">
        <v>3202</v>
      </c>
      <c r="C29" s="757" t="s">
        <v>1</v>
      </c>
      <c r="D29" s="604"/>
      <c r="E29" s="415"/>
      <c r="F29" s="277" t="s">
        <v>3038</v>
      </c>
      <c r="G29" s="19"/>
      <c r="H29" s="520"/>
      <c r="I29" s="412" t="str">
        <f>IF(E29="SI","Motivare sulla base di un apposito studio/analisi dei criteri idrogeologici","")</f>
        <v/>
      </c>
      <c r="J29" s="19"/>
      <c r="K29" s="294"/>
      <c r="L29" s="294">
        <f t="shared" si="1"/>
        <v>0</v>
      </c>
      <c r="M29" s="293"/>
    </row>
    <row r="30" spans="1:13" s="31" customFormat="1" ht="45.75" customHeight="1" x14ac:dyDescent="0.25">
      <c r="A30" s="589" t="s">
        <v>2996</v>
      </c>
      <c r="B30" s="593" t="s">
        <v>3046</v>
      </c>
      <c r="C30" s="757" t="s">
        <v>1</v>
      </c>
      <c r="D30" s="604"/>
      <c r="E30" s="415"/>
      <c r="F30" s="277"/>
      <c r="G30" s="19"/>
      <c r="H30" s="520"/>
      <c r="I30" s="207"/>
      <c r="J30" s="19"/>
      <c r="K30" s="294"/>
      <c r="L30" s="294">
        <f t="shared" si="1"/>
        <v>0</v>
      </c>
      <c r="M30" s="293"/>
    </row>
    <row r="31" spans="1:13" s="31" customFormat="1" ht="45.75" customHeight="1" x14ac:dyDescent="0.25">
      <c r="A31" s="589" t="s">
        <v>3000</v>
      </c>
      <c r="B31" s="758" t="s">
        <v>3045</v>
      </c>
      <c r="C31" s="759"/>
      <c r="D31" s="649"/>
      <c r="E31" s="687"/>
      <c r="F31" s="650"/>
      <c r="G31" s="19"/>
      <c r="H31" s="651"/>
      <c r="I31" s="652"/>
      <c r="J31" s="19"/>
      <c r="K31" s="294"/>
      <c r="L31" s="294">
        <f t="shared" si="1"/>
        <v>0</v>
      </c>
      <c r="M31" s="293"/>
    </row>
    <row r="32" spans="1:13" s="31" customFormat="1" ht="45.75" customHeight="1" x14ac:dyDescent="0.25">
      <c r="A32" s="589" t="s">
        <v>3014</v>
      </c>
      <c r="B32" s="593" t="s">
        <v>3047</v>
      </c>
      <c r="C32" s="757" t="s">
        <v>1</v>
      </c>
      <c r="D32" s="585"/>
      <c r="E32" s="415"/>
      <c r="F32" s="277" t="s">
        <v>3044</v>
      </c>
      <c r="G32" s="19"/>
      <c r="H32" s="520"/>
      <c r="I32" s="412" t="str">
        <f>IF(E3=0,"",IF(E32="","Selezionare la condizione di criticità",""))</f>
        <v/>
      </c>
      <c r="J32" s="19"/>
      <c r="K32" s="294"/>
      <c r="L32" s="294">
        <f t="shared" si="1"/>
        <v>0</v>
      </c>
      <c r="M32" s="293"/>
    </row>
    <row r="33" spans="1:12" s="31" customFormat="1" ht="30" customHeight="1" x14ac:dyDescent="0.25">
      <c r="A33" s="589" t="s">
        <v>2498</v>
      </c>
      <c r="B33" s="593" t="s">
        <v>2484</v>
      </c>
      <c r="C33" s="591" t="s">
        <v>52</v>
      </c>
      <c r="D33" s="594"/>
      <c r="E33" s="746">
        <f>E34+E36+E38+E40</f>
        <v>0</v>
      </c>
      <c r="F33" s="277" t="s">
        <v>2546</v>
      </c>
      <c r="G33" s="19"/>
      <c r="H33" s="520"/>
      <c r="I33" s="417"/>
      <c r="J33" s="19"/>
      <c r="K33" s="27"/>
      <c r="L33" s="294">
        <f t="shared" si="1"/>
        <v>0</v>
      </c>
    </row>
    <row r="34" spans="1:12" s="31" customFormat="1" ht="30" customHeight="1" x14ac:dyDescent="0.25">
      <c r="A34" s="589" t="s">
        <v>2499</v>
      </c>
      <c r="B34" s="590" t="s">
        <v>2485</v>
      </c>
      <c r="C34" s="591" t="s">
        <v>52</v>
      </c>
      <c r="D34" s="594"/>
      <c r="E34" s="586"/>
      <c r="F34" s="277" t="s">
        <v>3022</v>
      </c>
      <c r="G34" s="19"/>
      <c r="H34" s="520"/>
      <c r="I34" s="412" t="str">
        <f>IF(E34&lt;E24,"Il valore deve essere maggiore o uguale a Cons_SII","")</f>
        <v/>
      </c>
      <c r="J34" s="19"/>
      <c r="K34" s="27"/>
      <c r="L34" s="294">
        <f t="shared" si="1"/>
        <v>0</v>
      </c>
    </row>
    <row r="35" spans="1:12" s="31" customFormat="1" ht="33" customHeight="1" x14ac:dyDescent="0.25">
      <c r="A35" s="589" t="s">
        <v>2968</v>
      </c>
      <c r="B35" s="768" t="s">
        <v>2970</v>
      </c>
      <c r="C35" s="591" t="s">
        <v>52</v>
      </c>
      <c r="D35" s="594"/>
      <c r="E35" s="586"/>
      <c r="F35" s="599"/>
      <c r="G35" s="19"/>
      <c r="H35" s="520"/>
      <c r="I35" s="412" t="str">
        <f>IF(E35&gt;E34,"Il valore deve essere minore o uguale a Cons_ap","")</f>
        <v/>
      </c>
      <c r="J35" s="19"/>
      <c r="K35" s="27"/>
      <c r="L35" s="294">
        <f t="shared" si="1"/>
        <v>0</v>
      </c>
    </row>
    <row r="36" spans="1:12" s="31" customFormat="1" ht="30" customHeight="1" x14ac:dyDescent="0.25">
      <c r="A36" s="589" t="s">
        <v>2500</v>
      </c>
      <c r="B36" s="590" t="s">
        <v>2486</v>
      </c>
      <c r="C36" s="591" t="s">
        <v>52</v>
      </c>
      <c r="D36" s="585"/>
      <c r="E36" s="586"/>
      <c r="F36" s="277"/>
      <c r="G36" s="19"/>
      <c r="H36" s="520"/>
      <c r="I36" s="412" t="str">
        <f t="shared" ref="I36:I40" si="4">IF(E36&lt;0,"Il valore deve essere maggiore o uguale a zero","")</f>
        <v/>
      </c>
      <c r="J36" s="19"/>
      <c r="K36" s="27"/>
      <c r="L36" s="294">
        <f t="shared" si="1"/>
        <v>0</v>
      </c>
    </row>
    <row r="37" spans="1:12" s="31" customFormat="1" ht="30" customHeight="1" x14ac:dyDescent="0.25">
      <c r="A37" s="589" t="s">
        <v>2969</v>
      </c>
      <c r="B37" s="768" t="s">
        <v>2973</v>
      </c>
      <c r="C37" s="591" t="s">
        <v>52</v>
      </c>
      <c r="D37" s="585"/>
      <c r="E37" s="586"/>
      <c r="F37" s="277"/>
      <c r="G37" s="19"/>
      <c r="H37" s="520"/>
      <c r="I37" s="412" t="str">
        <f>IF(E37&gt;E36,"Il valore deve essere minore o uguale a Cons_irr","")</f>
        <v/>
      </c>
      <c r="J37" s="19"/>
      <c r="K37" s="27"/>
      <c r="L37" s="294">
        <f t="shared" si="1"/>
        <v>0</v>
      </c>
    </row>
    <row r="38" spans="1:12" s="31" customFormat="1" ht="30" customHeight="1" x14ac:dyDescent="0.25">
      <c r="A38" s="589" t="s">
        <v>2501</v>
      </c>
      <c r="B38" s="590" t="s">
        <v>2487</v>
      </c>
      <c r="C38" s="591" t="s">
        <v>52</v>
      </c>
      <c r="D38" s="585"/>
      <c r="E38" s="586"/>
      <c r="F38" s="277"/>
      <c r="G38" s="19"/>
      <c r="H38" s="520"/>
      <c r="I38" s="412" t="str">
        <f t="shared" si="4"/>
        <v/>
      </c>
      <c r="J38" s="19"/>
      <c r="K38" s="27"/>
      <c r="L38" s="294">
        <f t="shared" si="1"/>
        <v>0</v>
      </c>
    </row>
    <row r="39" spans="1:12" s="31" customFormat="1" ht="30" customHeight="1" x14ac:dyDescent="0.25">
      <c r="A39" s="589" t="s">
        <v>2971</v>
      </c>
      <c r="B39" s="768" t="s">
        <v>2972</v>
      </c>
      <c r="C39" s="591" t="s">
        <v>52</v>
      </c>
      <c r="D39" s="585"/>
      <c r="E39" s="586"/>
      <c r="F39" s="277"/>
      <c r="G39" s="19"/>
      <c r="H39" s="520"/>
      <c r="I39" s="412" t="str">
        <f>IF(E39&gt;E38,"Il valore deve essere minore o uguale a Cons_ind","")</f>
        <v/>
      </c>
      <c r="J39" s="19"/>
      <c r="K39" s="27"/>
      <c r="L39" s="294">
        <f t="shared" si="1"/>
        <v>0</v>
      </c>
    </row>
    <row r="40" spans="1:12" s="31" customFormat="1" ht="30" customHeight="1" x14ac:dyDescent="0.25">
      <c r="A40" s="589" t="s">
        <v>2502</v>
      </c>
      <c r="B40" s="590" t="s">
        <v>2488</v>
      </c>
      <c r="C40" s="591" t="s">
        <v>52</v>
      </c>
      <c r="D40" s="585"/>
      <c r="E40" s="586"/>
      <c r="F40" s="277"/>
      <c r="G40" s="19"/>
      <c r="H40" s="520"/>
      <c r="I40" s="412" t="str">
        <f t="shared" si="4"/>
        <v/>
      </c>
      <c r="J40" s="19"/>
      <c r="K40" s="27"/>
      <c r="L40" s="294">
        <f t="shared" si="1"/>
        <v>0</v>
      </c>
    </row>
    <row r="41" spans="1:12" s="31" customFormat="1" ht="30" customHeight="1" x14ac:dyDescent="0.25">
      <c r="A41" s="589" t="s">
        <v>2992</v>
      </c>
      <c r="B41" s="768" t="s">
        <v>2980</v>
      </c>
      <c r="C41" s="591" t="s">
        <v>52</v>
      </c>
      <c r="D41" s="585"/>
      <c r="E41" s="586"/>
      <c r="F41" s="277" t="s">
        <v>3012</v>
      </c>
      <c r="G41" s="19"/>
      <c r="H41" s="520"/>
      <c r="I41" s="993" t="str">
        <f>IF(OR(E41&lt;&gt;"",E42&lt;&gt;"",E43&lt;&gt;"",E44&lt;&gt;"",E45&lt;&gt;"",E46&lt;&gt;"",E47&lt;&gt;""),IF(OR(E41&lt;0,E42&lt;0,E43&lt;0,E44&lt;0,E45&lt;0,E46&lt;0,E47&lt;0,E41+E42+E43+E44+E45+E46+E47&lt;&gt;E40),"Ogni di cui deve essere maggiore o uguale a zero e la somma deve essere pari a Cons_al",""),"")</f>
        <v/>
      </c>
      <c r="J41" s="19"/>
      <c r="K41" s="27"/>
      <c r="L41" s="294">
        <f t="shared" si="1"/>
        <v>0</v>
      </c>
    </row>
    <row r="42" spans="1:12" s="31" customFormat="1" ht="30" customHeight="1" x14ac:dyDescent="0.25">
      <c r="A42" s="589" t="s">
        <v>2989</v>
      </c>
      <c r="B42" s="768" t="s">
        <v>2981</v>
      </c>
      <c r="C42" s="591" t="s">
        <v>52</v>
      </c>
      <c r="D42" s="585"/>
      <c r="E42" s="586"/>
      <c r="F42" s="277" t="s">
        <v>3012</v>
      </c>
      <c r="G42" s="19"/>
      <c r="H42" s="520"/>
      <c r="I42" s="994"/>
      <c r="J42" s="19"/>
      <c r="K42" s="27"/>
      <c r="L42" s="294">
        <f t="shared" si="1"/>
        <v>0</v>
      </c>
    </row>
    <row r="43" spans="1:12" s="31" customFormat="1" ht="30" customHeight="1" x14ac:dyDescent="0.25">
      <c r="A43" s="589" t="s">
        <v>2991</v>
      </c>
      <c r="B43" s="768" t="s">
        <v>2982</v>
      </c>
      <c r="C43" s="591" t="s">
        <v>52</v>
      </c>
      <c r="D43" s="585"/>
      <c r="E43" s="586"/>
      <c r="F43" s="277" t="s">
        <v>3012</v>
      </c>
      <c r="G43" s="19"/>
      <c r="H43" s="520"/>
      <c r="I43" s="994"/>
      <c r="J43" s="19"/>
      <c r="K43" s="27"/>
      <c r="L43" s="294">
        <f t="shared" si="1"/>
        <v>0</v>
      </c>
    </row>
    <row r="44" spans="1:12" s="31" customFormat="1" ht="30" customHeight="1" x14ac:dyDescent="0.25">
      <c r="A44" s="589" t="s">
        <v>2990</v>
      </c>
      <c r="B44" s="768" t="s">
        <v>2983</v>
      </c>
      <c r="C44" s="591" t="s">
        <v>52</v>
      </c>
      <c r="D44" s="585"/>
      <c r="E44" s="586"/>
      <c r="F44" s="277" t="s">
        <v>3012</v>
      </c>
      <c r="G44" s="19"/>
      <c r="H44" s="520"/>
      <c r="I44" s="994"/>
      <c r="J44" s="19"/>
      <c r="K44" s="27"/>
      <c r="L44" s="294">
        <f t="shared" si="1"/>
        <v>0</v>
      </c>
    </row>
    <row r="45" spans="1:12" s="31" customFormat="1" ht="30" customHeight="1" x14ac:dyDescent="0.25">
      <c r="A45" s="589" t="s">
        <v>2993</v>
      </c>
      <c r="B45" s="768" t="s">
        <v>2984</v>
      </c>
      <c r="C45" s="591" t="s">
        <v>52</v>
      </c>
      <c r="D45" s="585"/>
      <c r="E45" s="586"/>
      <c r="F45" s="277" t="s">
        <v>3012</v>
      </c>
      <c r="G45" s="19"/>
      <c r="H45" s="520"/>
      <c r="I45" s="995"/>
      <c r="J45" s="19"/>
      <c r="K45" s="27"/>
      <c r="L45" s="294">
        <f t="shared" si="1"/>
        <v>0</v>
      </c>
    </row>
    <row r="46" spans="1:12" s="31" customFormat="1" ht="30" customHeight="1" x14ac:dyDescent="0.25">
      <c r="A46" s="589" t="s">
        <v>2994</v>
      </c>
      <c r="B46" s="768" t="s">
        <v>2987</v>
      </c>
      <c r="C46" s="591" t="s">
        <v>52</v>
      </c>
      <c r="D46" s="585"/>
      <c r="E46" s="586"/>
      <c r="F46" s="277" t="s">
        <v>3012</v>
      </c>
      <c r="G46" s="19"/>
      <c r="H46" s="520"/>
      <c r="I46" s="995"/>
      <c r="J46" s="19"/>
      <c r="K46" s="27"/>
      <c r="L46" s="294">
        <f t="shared" si="1"/>
        <v>0</v>
      </c>
    </row>
    <row r="47" spans="1:12" s="31" customFormat="1" ht="40.5" customHeight="1" x14ac:dyDescent="0.25">
      <c r="A47" s="589" t="s">
        <v>2995</v>
      </c>
      <c r="B47" s="768" t="s">
        <v>2988</v>
      </c>
      <c r="C47" s="591" t="s">
        <v>52</v>
      </c>
      <c r="D47" s="585"/>
      <c r="E47" s="586"/>
      <c r="F47" s="277" t="s">
        <v>3013</v>
      </c>
      <c r="G47" s="19"/>
      <c r="H47" s="520"/>
      <c r="I47" s="996"/>
      <c r="J47" s="19"/>
      <c r="K47" s="27"/>
      <c r="L47" s="294">
        <f t="shared" si="1"/>
        <v>0</v>
      </c>
    </row>
    <row r="48" spans="1:12" s="31" customFormat="1" ht="30" customHeight="1" x14ac:dyDescent="0.25">
      <c r="A48" s="589" t="s">
        <v>2502</v>
      </c>
      <c r="B48" s="590" t="s">
        <v>2488</v>
      </c>
      <c r="C48" s="591" t="s">
        <v>52</v>
      </c>
      <c r="D48" s="585"/>
      <c r="E48" s="746">
        <f>E40</f>
        <v>0</v>
      </c>
      <c r="F48" s="277"/>
      <c r="G48" s="19"/>
      <c r="H48" s="520"/>
      <c r="I48" s="412" t="str">
        <f t="shared" ref="I48" si="5">IF(E48&lt;0,"Il valore deve essere maggiore o uguale a zero","")</f>
        <v/>
      </c>
      <c r="J48" s="19"/>
      <c r="K48" s="27"/>
      <c r="L48" s="294">
        <f t="shared" si="1"/>
        <v>0</v>
      </c>
    </row>
    <row r="49" spans="1:12" s="31" customFormat="1" ht="30" customHeight="1" x14ac:dyDescent="0.25">
      <c r="A49" s="589" t="s">
        <v>2974</v>
      </c>
      <c r="B49" s="768" t="s">
        <v>2975</v>
      </c>
      <c r="C49" s="591" t="s">
        <v>52</v>
      </c>
      <c r="D49" s="585"/>
      <c r="E49" s="586"/>
      <c r="F49" s="277"/>
      <c r="G49" s="19"/>
      <c r="H49" s="520"/>
      <c r="I49" s="412" t="str">
        <f>IF(E49&gt;E48,"Il valore deve essere minore o uguale a Cons_al","")</f>
        <v/>
      </c>
      <c r="J49" s="19"/>
      <c r="K49" s="27"/>
      <c r="L49" s="294">
        <f t="shared" si="1"/>
        <v>0</v>
      </c>
    </row>
    <row r="50" spans="1:12" s="31" customFormat="1" ht="49.5" customHeight="1" x14ac:dyDescent="0.25">
      <c r="A50" s="589" t="s">
        <v>2978</v>
      </c>
      <c r="B50" s="593" t="s">
        <v>2985</v>
      </c>
      <c r="C50" s="757" t="s">
        <v>1</v>
      </c>
      <c r="D50" s="585"/>
      <c r="E50" s="415"/>
      <c r="F50" s="277" t="s">
        <v>3039</v>
      </c>
      <c r="G50" s="19"/>
      <c r="H50" s="520"/>
      <c r="I50" s="412" t="str">
        <f>IF(AND(E50="SI",E30="NO"),"Attenzione: è stato indicato NO al quesito QR5","")</f>
        <v/>
      </c>
      <c r="J50" s="19"/>
      <c r="K50" s="27"/>
      <c r="L50" s="294">
        <f>IF(I50="",0,1)</f>
        <v>0</v>
      </c>
    </row>
    <row r="51" spans="1:12" s="31" customFormat="1" ht="44.25" customHeight="1" x14ac:dyDescent="0.25">
      <c r="A51" s="589" t="s">
        <v>2979</v>
      </c>
      <c r="B51" s="593" t="s">
        <v>2986</v>
      </c>
      <c r="C51" s="757" t="s">
        <v>1</v>
      </c>
      <c r="D51" s="585"/>
      <c r="E51" s="415"/>
      <c r="F51" s="277" t="s">
        <v>3040</v>
      </c>
      <c r="G51" s="19"/>
      <c r="H51" s="520"/>
      <c r="I51" s="412" t="str">
        <f>IF(AND(E51="SI",E30="NO"),"Attenzione: è stato indicato NO al quesito QR5","")</f>
        <v/>
      </c>
      <c r="J51" s="19"/>
      <c r="K51" s="27"/>
      <c r="L51" s="294">
        <f>IF(I51="",0,1)</f>
        <v>0</v>
      </c>
    </row>
    <row r="52" spans="1:12" ht="31.5" customHeight="1" x14ac:dyDescent="0.25">
      <c r="A52" s="589" t="s">
        <v>2548</v>
      </c>
      <c r="B52" s="593" t="s">
        <v>2809</v>
      </c>
      <c r="C52" s="591" t="s">
        <v>52</v>
      </c>
      <c r="D52" s="594"/>
      <c r="E52" s="746" t="str">
        <f>IF(E56="","",E56+E57+E59+E61+E62)</f>
        <v/>
      </c>
      <c r="F52" s="277" t="s">
        <v>2547</v>
      </c>
      <c r="H52" s="520"/>
      <c r="I52" s="417"/>
      <c r="K52" s="27"/>
      <c r="L52" s="294">
        <f t="shared" si="1"/>
        <v>0</v>
      </c>
    </row>
    <row r="53" spans="1:12" ht="61.5" customHeight="1" x14ac:dyDescent="0.25">
      <c r="A53" s="589" t="s">
        <v>3048</v>
      </c>
      <c r="B53" s="593" t="s">
        <v>3053</v>
      </c>
      <c r="C53" s="757" t="s">
        <v>1</v>
      </c>
      <c r="D53" s="585"/>
      <c r="E53" s="415"/>
      <c r="F53" s="277" t="s">
        <v>3049</v>
      </c>
      <c r="H53" s="520"/>
      <c r="I53" s="417"/>
      <c r="K53" s="27"/>
      <c r="L53" s="294">
        <f>IF(I53="",0,1)</f>
        <v>0</v>
      </c>
    </row>
    <row r="54" spans="1:12" ht="44.25" customHeight="1" x14ac:dyDescent="0.25">
      <c r="A54" s="589" t="s">
        <v>3054</v>
      </c>
      <c r="B54" s="593" t="s">
        <v>3050</v>
      </c>
      <c r="C54" s="757" t="s">
        <v>52</v>
      </c>
      <c r="D54" s="585"/>
      <c r="E54" s="747" t="str">
        <f>IF(OR(E32="",E53="NO"),"",IF(E32="Bassa",MAX(0,3*E33-(E57+E59+E61+E62)-E64),IF(E32="Media",MAX(0,1.3*E33-(E57+E59+E61+E62)-E64),IF(E32="Alta",MAX(0,0.9*E33-(E57+E59+E61+E62)-E64)))))</f>
        <v/>
      </c>
      <c r="F54" s="277" t="s">
        <v>3041</v>
      </c>
      <c r="H54" s="520"/>
      <c r="I54" s="417"/>
      <c r="K54" s="27"/>
      <c r="L54" s="294">
        <f t="shared" si="1"/>
        <v>0</v>
      </c>
    </row>
    <row r="55" spans="1:12" ht="65.25" customHeight="1" x14ac:dyDescent="0.25">
      <c r="A55" s="589" t="s">
        <v>3015</v>
      </c>
      <c r="B55" s="593" t="s">
        <v>3042</v>
      </c>
      <c r="C55" s="591" t="s">
        <v>52</v>
      </c>
      <c r="D55" s="585"/>
      <c r="E55" s="586"/>
      <c r="F55" s="277" t="s">
        <v>3051</v>
      </c>
      <c r="H55" s="520"/>
      <c r="I55" s="412" t="str">
        <f>IF(E53&lt;&gt;"NO","",IF(AND(E15&lt;&gt;"",E54="",E55=""),"Il valore deve essere maggiore o uguale a zero e maggiore o uguale a ∑falda_SII",""))</f>
        <v/>
      </c>
      <c r="K55" s="27"/>
      <c r="L55" s="294">
        <f>IF(I55="",0,1)</f>
        <v>0</v>
      </c>
    </row>
    <row r="56" spans="1:12" ht="32.1" customHeight="1" x14ac:dyDescent="0.25">
      <c r="A56" s="589" t="s">
        <v>2477</v>
      </c>
      <c r="B56" s="593" t="s">
        <v>3016</v>
      </c>
      <c r="C56" s="591" t="s">
        <v>52</v>
      </c>
      <c r="D56" s="585"/>
      <c r="E56" s="747" t="str">
        <f>IF(E53&lt;&gt;"NO",E54,E55)</f>
        <v/>
      </c>
      <c r="F56" s="277" t="s">
        <v>3043</v>
      </c>
      <c r="H56" s="520"/>
      <c r="I56" s="412" t="str">
        <f>IF(E56&lt;0,"Il valore deve essere maggiore o uguale a zero",IF(E56&lt;E15,"Il valore è inferiore a ∑falda_SII",""))</f>
        <v/>
      </c>
      <c r="K56" s="27"/>
      <c r="L56" s="294">
        <f>IF(I56="",0,1)</f>
        <v>0</v>
      </c>
    </row>
    <row r="57" spans="1:12" ht="32.1" customHeight="1" x14ac:dyDescent="0.25">
      <c r="A57" s="589" t="s">
        <v>2478</v>
      </c>
      <c r="B57" s="593" t="s">
        <v>3017</v>
      </c>
      <c r="C57" s="591" t="s">
        <v>52</v>
      </c>
      <c r="D57" s="585"/>
      <c r="E57" s="586"/>
      <c r="F57" s="277"/>
      <c r="H57" s="520"/>
      <c r="I57" s="412" t="str">
        <f>IF(OR(E57&lt;0,E57&lt;E16),"Il valore deve essere maggiore o uguale a zero e maggiore o uguale a ∑invasi_SII","")</f>
        <v/>
      </c>
      <c r="K57" s="27"/>
      <c r="L57" s="294">
        <f t="shared" si="1"/>
        <v>0</v>
      </c>
    </row>
    <row r="58" spans="1:12" ht="32.1" customHeight="1" x14ac:dyDescent="0.25">
      <c r="A58" s="589" t="s">
        <v>3001</v>
      </c>
      <c r="B58" s="590" t="s">
        <v>3002</v>
      </c>
      <c r="C58" s="591" t="s">
        <v>52</v>
      </c>
      <c r="D58" s="653"/>
      <c r="E58" s="586"/>
      <c r="F58" s="277"/>
      <c r="G58" s="654"/>
      <c r="H58" s="655"/>
      <c r="I58" s="412" t="str">
        <f>IF(E58&gt;E57,"Il valore deve essere minore o uguale a ∑invasi_tot","")</f>
        <v/>
      </c>
      <c r="K58" s="27"/>
      <c r="L58" s="294">
        <f t="shared" si="1"/>
        <v>0</v>
      </c>
    </row>
    <row r="59" spans="1:12" ht="32.1" customHeight="1" x14ac:dyDescent="0.25">
      <c r="A59" s="589" t="s">
        <v>2479</v>
      </c>
      <c r="B59" s="593" t="s">
        <v>3018</v>
      </c>
      <c r="C59" s="591" t="s">
        <v>52</v>
      </c>
      <c r="D59" s="585"/>
      <c r="E59" s="586"/>
      <c r="F59" s="277"/>
      <c r="H59" s="520"/>
      <c r="I59" s="412" t="str">
        <f>IF(OR(E59&lt;0,E59&lt;E17),"Il valore deve essere maggiore o uguale a zero e maggiore o uguale a ∑CIS_SII","")</f>
        <v/>
      </c>
      <c r="K59" s="27"/>
      <c r="L59" s="294">
        <f t="shared" si="1"/>
        <v>0</v>
      </c>
    </row>
    <row r="60" spans="1:12" ht="32.1" customHeight="1" x14ac:dyDescent="0.25">
      <c r="A60" s="589" t="s">
        <v>3003</v>
      </c>
      <c r="B60" s="590" t="s">
        <v>3004</v>
      </c>
      <c r="C60" s="591" t="s">
        <v>52</v>
      </c>
      <c r="D60" s="653"/>
      <c r="E60" s="586"/>
      <c r="F60" s="277"/>
      <c r="G60" s="37"/>
      <c r="H60" s="520"/>
      <c r="I60" s="412" t="str">
        <f>IF(E60&gt;E59,"Il valore deve essere minore o uguale a ∑CIS_tot","")</f>
        <v/>
      </c>
      <c r="K60" s="27"/>
      <c r="L60" s="294">
        <f t="shared" si="1"/>
        <v>0</v>
      </c>
    </row>
    <row r="61" spans="1:12" ht="39.75" customHeight="1" x14ac:dyDescent="0.25">
      <c r="A61" s="589" t="s">
        <v>2480</v>
      </c>
      <c r="B61" s="593" t="s">
        <v>3019</v>
      </c>
      <c r="C61" s="591" t="s">
        <v>52</v>
      </c>
      <c r="D61" s="585"/>
      <c r="E61" s="586"/>
      <c r="F61" s="277" t="s">
        <v>3021</v>
      </c>
      <c r="H61" s="520"/>
      <c r="I61" s="412" t="str">
        <f>IF(OR(E61&lt;0,E61&lt;E18),"Il valore deve essere maggiore o uguale a zero e maggiore o uguale a ∑dissalazione_SII","")</f>
        <v/>
      </c>
      <c r="K61" s="27"/>
      <c r="L61" s="294">
        <f t="shared" si="1"/>
        <v>0</v>
      </c>
    </row>
    <row r="62" spans="1:12" ht="32.1" customHeight="1" x14ac:dyDescent="0.25">
      <c r="A62" s="589" t="s">
        <v>2481</v>
      </c>
      <c r="B62" s="593" t="s">
        <v>3020</v>
      </c>
      <c r="C62" s="591" t="s">
        <v>52</v>
      </c>
      <c r="D62" s="585"/>
      <c r="E62" s="586"/>
      <c r="F62" s="277"/>
      <c r="H62" s="520"/>
      <c r="I62" s="412" t="str">
        <f>IF(OR(E62&lt;0,E62&lt;E19),"Il valore deve essere maggiore o uguale a zero e maggiore o uguale a ∑riuso_SII","")</f>
        <v/>
      </c>
      <c r="K62" s="27"/>
      <c r="L62" s="294">
        <f t="shared" si="1"/>
        <v>0</v>
      </c>
    </row>
    <row r="63" spans="1:12" ht="32.1" customHeight="1" x14ac:dyDescent="0.25">
      <c r="A63" s="589" t="s">
        <v>3005</v>
      </c>
      <c r="B63" s="590" t="s">
        <v>3006</v>
      </c>
      <c r="C63" s="591" t="s">
        <v>52</v>
      </c>
      <c r="D63" s="653"/>
      <c r="E63" s="586"/>
      <c r="F63" s="277"/>
      <c r="G63" s="37"/>
      <c r="H63" s="520"/>
      <c r="I63" s="412" t="str">
        <f>IF(E63&gt;E62,"Il valore deve essere minore o uguale a ∑riuso_tot","")</f>
        <v/>
      </c>
      <c r="K63" s="27"/>
      <c r="L63" s="294">
        <f t="shared" si="1"/>
        <v>0</v>
      </c>
    </row>
    <row r="64" spans="1:12" ht="30" x14ac:dyDescent="0.25">
      <c r="A64" s="589" t="s">
        <v>2482</v>
      </c>
      <c r="B64" s="593" t="s">
        <v>2549</v>
      </c>
      <c r="C64" s="591" t="s">
        <v>52</v>
      </c>
      <c r="D64" s="585"/>
      <c r="E64" s="592"/>
      <c r="F64" s="277" t="s">
        <v>2546</v>
      </c>
      <c r="H64" s="520"/>
      <c r="I64" s="412" t="str">
        <f>IF(E64&lt;0,"Il valore deve essere maggiore o uguale a zero","")</f>
        <v/>
      </c>
      <c r="K64" s="27"/>
      <c r="L64" s="294">
        <f t="shared" si="1"/>
        <v>0</v>
      </c>
    </row>
    <row r="65" spans="1:12" ht="30" x14ac:dyDescent="0.25">
      <c r="A65" s="589" t="s">
        <v>2483</v>
      </c>
      <c r="B65" s="593" t="s">
        <v>2550</v>
      </c>
      <c r="C65" s="591" t="s">
        <v>52</v>
      </c>
      <c r="D65" s="585"/>
      <c r="E65" s="592"/>
      <c r="F65" s="277" t="s">
        <v>2546</v>
      </c>
      <c r="H65" s="520"/>
      <c r="I65" s="412" t="str">
        <f>IF(E65&lt;0,"Il valore deve essere maggiore o uguale a zero","")</f>
        <v/>
      </c>
      <c r="K65" s="27"/>
      <c r="L65" s="294">
        <f t="shared" si="1"/>
        <v>0</v>
      </c>
    </row>
    <row r="66" spans="1:12" s="31" customFormat="1" ht="30" customHeight="1" thickBot="1" x14ac:dyDescent="0.3">
      <c r="A66" s="611" t="s">
        <v>2489</v>
      </c>
      <c r="B66" s="612" t="s">
        <v>2490</v>
      </c>
      <c r="C66" s="613" t="s">
        <v>1</v>
      </c>
      <c r="D66" s="597"/>
      <c r="E66" s="598" t="str">
        <f>IF(AND(E56="",E57="",E59="",E61="",E62="",E64=""),"",(E33-E65)/(E52+E64))</f>
        <v/>
      </c>
      <c r="F66" s="5" t="s">
        <v>2491</v>
      </c>
      <c r="G66" s="19"/>
      <c r="H66" s="521"/>
      <c r="I66" s="325" t="str">
        <f>IF(AND(E$3="SI",E66=""),"Indicatore non calcolabile","")</f>
        <v/>
      </c>
      <c r="J66" s="19"/>
      <c r="K66" s="27"/>
      <c r="L66" s="294">
        <f>IF(I66="",0,1)</f>
        <v>0</v>
      </c>
    </row>
    <row r="68" spans="1:12" ht="18" thickBot="1" x14ac:dyDescent="0.3">
      <c r="A68" s="276" t="s">
        <v>3011</v>
      </c>
    </row>
    <row r="69" spans="1:12" ht="28.5" customHeight="1" x14ac:dyDescent="0.25">
      <c r="A69" s="578" t="s">
        <v>2503</v>
      </c>
      <c r="B69" s="579" t="s">
        <v>2504</v>
      </c>
      <c r="C69" s="765" t="s">
        <v>1</v>
      </c>
      <c r="D69" s="614"/>
      <c r="E69" s="615" t="str">
        <f>IF(OR(E25="",E66=""),"",IF(AND(E25&lt;0.4,E66&lt;=1),"A",IF(AND(E25&lt;0.5,E66&lt;=1),"B",IF(AND(E25&lt;0.7,E66&lt;=1),"C",IF(AND(E25&lt;0.95,E66&lt;=1),"D","E")))))</f>
        <v/>
      </c>
      <c r="F69" s="2" t="s">
        <v>2507</v>
      </c>
      <c r="H69" s="528"/>
      <c r="I69" s="228"/>
      <c r="K69" s="27"/>
      <c r="L69" s="294">
        <f t="shared" si="1"/>
        <v>0</v>
      </c>
    </row>
    <row r="70" spans="1:12" ht="30" customHeight="1" x14ac:dyDescent="0.25">
      <c r="A70" s="616" t="s">
        <v>2505</v>
      </c>
      <c r="B70" s="617" t="s">
        <v>2506</v>
      </c>
      <c r="C70" s="618" t="s">
        <v>1</v>
      </c>
      <c r="D70" s="619"/>
      <c r="E70" s="423" t="str">
        <f>IF(E69="A","Mantenimento",IF(E69="B","+0,2% di DISP",IF(E69="C","+0,5% di DISP",IF(E69="D","+0,7% di DISP",IF(E69="E","+1% di DISP","")))))</f>
        <v/>
      </c>
      <c r="F70" s="650" t="s">
        <v>2507</v>
      </c>
      <c r="H70" s="525"/>
      <c r="I70" s="629"/>
      <c r="K70" s="27"/>
      <c r="L70" s="294">
        <f>IF(I70="",0,1)</f>
        <v>0</v>
      </c>
    </row>
    <row r="71" spans="1:12" ht="30" customHeight="1" x14ac:dyDescent="0.25">
      <c r="A71" s="616" t="s">
        <v>2467</v>
      </c>
      <c r="B71" s="617" t="s">
        <v>2559</v>
      </c>
      <c r="C71" s="755" t="s">
        <v>52</v>
      </c>
      <c r="D71" s="622"/>
      <c r="E71" s="623">
        <f>E14+E20+E23</f>
        <v>0</v>
      </c>
      <c r="F71" s="1" t="s">
        <v>2547</v>
      </c>
      <c r="H71" s="525"/>
      <c r="I71" s="629"/>
      <c r="K71" s="27"/>
      <c r="L71" s="294">
        <f>IF(I71="",0,1)</f>
        <v>0</v>
      </c>
    </row>
    <row r="72" spans="1:12" ht="30" customHeight="1" x14ac:dyDescent="0.25">
      <c r="A72" s="761" t="s">
        <v>3125</v>
      </c>
      <c r="B72" s="762" t="s">
        <v>3128</v>
      </c>
      <c r="C72" s="591" t="s">
        <v>4</v>
      </c>
      <c r="D72" s="751"/>
      <c r="E72" s="873"/>
      <c r="F72" s="766" t="s">
        <v>3096</v>
      </c>
      <c r="H72" s="752"/>
      <c r="I72" s="753"/>
      <c r="K72" s="27"/>
      <c r="L72" s="294">
        <f t="shared" ref="L72:L88" si="6">IF(I72="",0,1)</f>
        <v>0</v>
      </c>
    </row>
    <row r="73" spans="1:12" ht="30" customHeight="1" x14ac:dyDescent="0.25">
      <c r="A73" s="761" t="s">
        <v>3124</v>
      </c>
      <c r="B73" s="762" t="s">
        <v>3127</v>
      </c>
      <c r="C73" s="591" t="s">
        <v>4</v>
      </c>
      <c r="D73" s="751"/>
      <c r="E73" s="873"/>
      <c r="F73" s="766" t="s">
        <v>3096</v>
      </c>
      <c r="H73" s="752"/>
      <c r="I73" s="753"/>
      <c r="K73" s="27"/>
      <c r="L73" s="294">
        <f t="shared" si="6"/>
        <v>0</v>
      </c>
    </row>
    <row r="74" spans="1:12" ht="30" customHeight="1" x14ac:dyDescent="0.25">
      <c r="A74" s="761" t="s">
        <v>3122</v>
      </c>
      <c r="B74" s="762" t="s">
        <v>3126</v>
      </c>
      <c r="C74" s="591" t="s">
        <v>4</v>
      </c>
      <c r="D74" s="751"/>
      <c r="E74" s="873"/>
      <c r="F74" s="766" t="s">
        <v>3096</v>
      </c>
      <c r="H74" s="752"/>
      <c r="I74" s="753"/>
      <c r="K74" s="27"/>
      <c r="L74" s="294">
        <f t="shared" si="6"/>
        <v>0</v>
      </c>
    </row>
    <row r="75" spans="1:12" ht="30" customHeight="1" x14ac:dyDescent="0.25">
      <c r="A75" s="761" t="s">
        <v>3123</v>
      </c>
      <c r="B75" s="762" t="s">
        <v>3129</v>
      </c>
      <c r="C75" s="591" t="s">
        <v>4</v>
      </c>
      <c r="D75" s="751"/>
      <c r="E75" s="873"/>
      <c r="F75" s="766" t="s">
        <v>3096</v>
      </c>
      <c r="H75" s="752"/>
      <c r="I75" s="753"/>
      <c r="K75" s="27"/>
      <c r="L75" s="294">
        <f t="shared" si="6"/>
        <v>0</v>
      </c>
    </row>
    <row r="76" spans="1:12" ht="30" customHeight="1" x14ac:dyDescent="0.25">
      <c r="A76" s="620" t="s">
        <v>3091</v>
      </c>
      <c r="B76" s="621" t="s">
        <v>3092</v>
      </c>
      <c r="C76" s="760" t="s">
        <v>4</v>
      </c>
      <c r="D76" s="751"/>
      <c r="E76" s="874" t="str">
        <f>IFERROR(IF(E25="","",AVERAGE(E72:E75)),"")</f>
        <v/>
      </c>
      <c r="F76" s="766" t="s">
        <v>3095</v>
      </c>
      <c r="H76" s="752"/>
      <c r="I76" s="753"/>
      <c r="K76" s="27"/>
      <c r="L76" s="294">
        <f t="shared" si="6"/>
        <v>0</v>
      </c>
    </row>
    <row r="77" spans="1:12" ht="30" customHeight="1" x14ac:dyDescent="0.25">
      <c r="A77" s="761" t="s">
        <v>3138</v>
      </c>
      <c r="B77" s="762" t="s">
        <v>3137</v>
      </c>
      <c r="C77" s="764" t="s">
        <v>3223</v>
      </c>
      <c r="D77" s="751"/>
      <c r="E77" s="875"/>
      <c r="F77" s="766" t="s">
        <v>3096</v>
      </c>
      <c r="H77" s="752"/>
      <c r="I77" s="753"/>
      <c r="K77" s="27"/>
      <c r="L77" s="294">
        <f t="shared" si="6"/>
        <v>0</v>
      </c>
    </row>
    <row r="78" spans="1:12" ht="30" customHeight="1" x14ac:dyDescent="0.25">
      <c r="A78" s="761" t="s">
        <v>3139</v>
      </c>
      <c r="B78" s="762" t="s">
        <v>3136</v>
      </c>
      <c r="C78" s="764" t="s">
        <v>3224</v>
      </c>
      <c r="D78" s="751"/>
      <c r="E78" s="875"/>
      <c r="F78" s="766" t="s">
        <v>3096</v>
      </c>
      <c r="H78" s="752"/>
      <c r="I78" s="753"/>
      <c r="K78" s="27"/>
      <c r="L78" s="294">
        <f t="shared" si="6"/>
        <v>0</v>
      </c>
    </row>
    <row r="79" spans="1:12" ht="30" customHeight="1" x14ac:dyDescent="0.25">
      <c r="A79" s="761" t="s">
        <v>3140</v>
      </c>
      <c r="B79" s="762" t="s">
        <v>3135</v>
      </c>
      <c r="C79" s="764" t="s">
        <v>3224</v>
      </c>
      <c r="D79" s="751"/>
      <c r="E79" s="875"/>
      <c r="F79" s="766" t="s">
        <v>3096</v>
      </c>
      <c r="H79" s="752"/>
      <c r="I79" s="753"/>
      <c r="K79" s="27"/>
      <c r="L79" s="294">
        <f t="shared" si="6"/>
        <v>0</v>
      </c>
    </row>
    <row r="80" spans="1:12" ht="30" customHeight="1" x14ac:dyDescent="0.25">
      <c r="A80" s="761" t="s">
        <v>3141</v>
      </c>
      <c r="B80" s="762" t="s">
        <v>3134</v>
      </c>
      <c r="C80" s="764" t="s">
        <v>3224</v>
      </c>
      <c r="D80" s="751"/>
      <c r="E80" s="875"/>
      <c r="F80" s="766" t="s">
        <v>3096</v>
      </c>
      <c r="H80" s="752"/>
      <c r="I80" s="753"/>
      <c r="K80" s="27"/>
      <c r="L80" s="294">
        <f t="shared" si="6"/>
        <v>0</v>
      </c>
    </row>
    <row r="81" spans="1:12" ht="30" customHeight="1" x14ac:dyDescent="0.25">
      <c r="A81" s="761" t="s">
        <v>3142</v>
      </c>
      <c r="B81" s="762" t="s">
        <v>3133</v>
      </c>
      <c r="C81" s="764" t="s">
        <v>3224</v>
      </c>
      <c r="D81" s="751"/>
      <c r="E81" s="875"/>
      <c r="F81" s="766" t="s">
        <v>3096</v>
      </c>
      <c r="H81" s="752"/>
      <c r="I81" s="753"/>
      <c r="K81" s="27"/>
      <c r="L81" s="294">
        <f t="shared" si="6"/>
        <v>0</v>
      </c>
    </row>
    <row r="82" spans="1:12" ht="30" customHeight="1" x14ac:dyDescent="0.25">
      <c r="A82" s="761" t="s">
        <v>3144</v>
      </c>
      <c r="B82" s="762" t="s">
        <v>3132</v>
      </c>
      <c r="C82" s="764" t="s">
        <v>3224</v>
      </c>
      <c r="D82" s="751"/>
      <c r="E82" s="875"/>
      <c r="F82" s="766" t="s">
        <v>3096</v>
      </c>
      <c r="H82" s="752"/>
      <c r="I82" s="753"/>
      <c r="K82" s="27"/>
      <c r="L82" s="294">
        <f t="shared" si="6"/>
        <v>0</v>
      </c>
    </row>
    <row r="83" spans="1:12" ht="30" customHeight="1" x14ac:dyDescent="0.25">
      <c r="A83" s="761" t="s">
        <v>3143</v>
      </c>
      <c r="B83" s="762" t="s">
        <v>3131</v>
      </c>
      <c r="C83" s="764" t="s">
        <v>3224</v>
      </c>
      <c r="D83" s="751"/>
      <c r="E83" s="875"/>
      <c r="F83" s="766" t="s">
        <v>3096</v>
      </c>
      <c r="H83" s="752"/>
      <c r="I83" s="753"/>
      <c r="K83" s="27"/>
      <c r="L83" s="294">
        <f t="shared" si="6"/>
        <v>0</v>
      </c>
    </row>
    <row r="84" spans="1:12" ht="30" customHeight="1" x14ac:dyDescent="0.25">
      <c r="A84" s="761" t="s">
        <v>3145</v>
      </c>
      <c r="B84" s="762" t="s">
        <v>3130</v>
      </c>
      <c r="C84" s="764" t="s">
        <v>3224</v>
      </c>
      <c r="D84" s="751"/>
      <c r="E84" s="875"/>
      <c r="F84" s="766" t="s">
        <v>3096</v>
      </c>
      <c r="H84" s="752"/>
      <c r="I84" s="753"/>
      <c r="K84" s="27"/>
      <c r="L84" s="294">
        <f t="shared" si="6"/>
        <v>0</v>
      </c>
    </row>
    <row r="85" spans="1:12" ht="30" customHeight="1" x14ac:dyDescent="0.25">
      <c r="A85" s="620" t="s">
        <v>3094</v>
      </c>
      <c r="B85" s="750" t="s">
        <v>3093</v>
      </c>
      <c r="C85" s="760" t="s">
        <v>1</v>
      </c>
      <c r="D85" s="751"/>
      <c r="E85" s="763" t="str">
        <f>IFERROR(IF(E25="","",SUM(E81:E84)/SUM(E77:E80)),"")</f>
        <v/>
      </c>
      <c r="F85" s="766" t="s">
        <v>3097</v>
      </c>
      <c r="H85" s="752"/>
      <c r="I85" s="753"/>
      <c r="K85" s="27"/>
      <c r="L85" s="294">
        <f t="shared" si="6"/>
        <v>0</v>
      </c>
    </row>
    <row r="86" spans="1:12" ht="45" x14ac:dyDescent="0.25">
      <c r="A86" s="589" t="s">
        <v>3007</v>
      </c>
      <c r="B86" s="624" t="s">
        <v>134</v>
      </c>
      <c r="C86" s="26" t="s">
        <v>37</v>
      </c>
      <c r="D86" s="585"/>
      <c r="E86" s="586"/>
      <c r="F86" s="650" t="s">
        <v>3057</v>
      </c>
      <c r="H86" s="520"/>
      <c r="I86" s="412" t="str">
        <f>IF(E86&lt;0,"Il valore deve essere maggiore o uguale a zero","")</f>
        <v/>
      </c>
      <c r="K86" s="27"/>
      <c r="L86" s="294">
        <f t="shared" si="6"/>
        <v>0</v>
      </c>
    </row>
    <row r="87" spans="1:12" ht="30" x14ac:dyDescent="0.25">
      <c r="A87" s="589" t="s">
        <v>3008</v>
      </c>
      <c r="B87" s="624" t="s">
        <v>135</v>
      </c>
      <c r="C87" s="591" t="s">
        <v>37</v>
      </c>
      <c r="D87" s="585"/>
      <c r="E87" s="586"/>
      <c r="F87" s="650" t="s">
        <v>3057</v>
      </c>
      <c r="H87" s="520"/>
      <c r="I87" s="412" t="str">
        <f>IF(E87&lt;0,"Il valore deve essere maggiore o uguale a zero","")</f>
        <v/>
      </c>
      <c r="K87" s="27"/>
      <c r="L87" s="294">
        <f t="shared" si="6"/>
        <v>0</v>
      </c>
    </row>
    <row r="88" spans="1:12" ht="31.5" customHeight="1" x14ac:dyDescent="0.25">
      <c r="A88" s="616" t="s">
        <v>2508</v>
      </c>
      <c r="B88" s="617" t="s">
        <v>2509</v>
      </c>
      <c r="C88" s="618" t="s">
        <v>4</v>
      </c>
      <c r="D88" s="625"/>
      <c r="E88" s="626" t="str">
        <f>IF('QT-Acquedotto'!E67&lt;0.7,1,IF(AND(E87&gt;0,E86&gt;0),E86/E87,""))</f>
        <v/>
      </c>
      <c r="F88" s="766" t="s">
        <v>3098</v>
      </c>
      <c r="H88" s="523"/>
      <c r="I88" s="584"/>
      <c r="K88" s="27"/>
      <c r="L88" s="294">
        <f t="shared" si="6"/>
        <v>0</v>
      </c>
    </row>
    <row r="89" spans="1:12" ht="30" x14ac:dyDescent="0.25">
      <c r="A89" s="589" t="s">
        <v>2511</v>
      </c>
      <c r="B89" s="624" t="s">
        <v>2510</v>
      </c>
      <c r="C89" s="591" t="s">
        <v>52</v>
      </c>
      <c r="D89" s="585"/>
      <c r="E89" s="586"/>
      <c r="F89" s="650" t="s">
        <v>3057</v>
      </c>
      <c r="H89" s="520"/>
      <c r="I89" s="412" t="str">
        <f>IF(E89&lt;0,"Il valore deve essere maggiore o uguale a zero","")</f>
        <v/>
      </c>
      <c r="K89" s="27"/>
      <c r="L89" s="294">
        <f t="shared" si="1"/>
        <v>0</v>
      </c>
    </row>
    <row r="90" spans="1:12" ht="30.75" customHeight="1" thickBot="1" x14ac:dyDescent="0.3">
      <c r="A90" s="611" t="s">
        <v>2512</v>
      </c>
      <c r="B90" s="612" t="s">
        <v>2513</v>
      </c>
      <c r="C90" s="613" t="s">
        <v>4</v>
      </c>
      <c r="D90" s="627"/>
      <c r="E90" s="628" t="str">
        <f>IF(AND(E34&gt;0,E89&gt;0),E89/E34,"")</f>
        <v/>
      </c>
      <c r="F90" s="767" t="s">
        <v>3099</v>
      </c>
      <c r="H90" s="544"/>
      <c r="I90" s="327"/>
      <c r="K90" s="27"/>
      <c r="L90" s="294">
        <f t="shared" si="1"/>
        <v>0</v>
      </c>
    </row>
    <row r="91" spans="1:12" x14ac:dyDescent="0.25">
      <c r="K91" s="27"/>
      <c r="L91" s="27"/>
    </row>
    <row r="108" spans="2:2" x14ac:dyDescent="0.25">
      <c r="B108" s="162" t="s">
        <v>469</v>
      </c>
    </row>
    <row r="109" spans="2:2" x14ac:dyDescent="0.25">
      <c r="B109" s="57" t="s">
        <v>470</v>
      </c>
    </row>
    <row r="110" spans="2:2" x14ac:dyDescent="0.25">
      <c r="B110" s="163"/>
    </row>
    <row r="111" spans="2:2" x14ac:dyDescent="0.25">
      <c r="B111" s="59" t="s">
        <v>6</v>
      </c>
    </row>
    <row r="112" spans="2:2" x14ac:dyDescent="0.25">
      <c r="B112" s="60"/>
    </row>
    <row r="113" spans="1:2" x14ac:dyDescent="0.25">
      <c r="B113" s="164"/>
    </row>
    <row r="114" spans="1:2" x14ac:dyDescent="0.25">
      <c r="A114" s="61"/>
      <c r="B114" s="62" t="s">
        <v>0</v>
      </c>
    </row>
    <row r="116" spans="1:2" x14ac:dyDescent="0.25">
      <c r="B116" s="600" t="s">
        <v>2997</v>
      </c>
    </row>
    <row r="117" spans="1:2" x14ac:dyDescent="0.25">
      <c r="B117" s="601" t="s">
        <v>2998</v>
      </c>
    </row>
    <row r="118" spans="1:2" x14ac:dyDescent="0.25">
      <c r="B118" s="602" t="s">
        <v>2999</v>
      </c>
    </row>
    <row r="120" spans="1:2" x14ac:dyDescent="0.25">
      <c r="B120" s="163" t="s">
        <v>5</v>
      </c>
    </row>
    <row r="121" spans="1:2" x14ac:dyDescent="0.25">
      <c r="B121" s="59" t="s">
        <v>6</v>
      </c>
    </row>
  </sheetData>
  <sheetProtection algorithmName="SHA-512" hashValue="Q7a8ExJsaMaZuZEc7pIcy3ClclvUZwUWzmhshY+EKHrAk2IemnqvjIrKotG2dc4PejkxHy1YhXdSf66j3KuHZw==" saltValue="4ElrlT/q7hkwRHcWuNtO1A==" spinCount="100000" sheet="1" objects="1" scenarios="1"/>
  <mergeCells count="1">
    <mergeCell ref="I41:I47"/>
  </mergeCells>
  <phoneticPr fontId="88" type="noConversion"/>
  <conditionalFormatting sqref="L2">
    <cfRule type="cellIs" dxfId="17" priority="1" operator="lessThanOrEqual">
      <formula>0</formula>
    </cfRule>
    <cfRule type="cellIs" dxfId="16" priority="2" operator="greaterThan">
      <formula>0</formula>
    </cfRule>
  </conditionalFormatting>
  <dataValidations count="5">
    <dataValidation type="list" allowBlank="1" showInputMessage="1" showErrorMessage="1" sqref="E11" xr:uid="{BC51DAA3-BB01-4E06-AE1D-484703224454}">
      <formula1>$B$113:$B$114</formula1>
    </dataValidation>
    <dataValidation type="list" allowBlank="1" showInputMessage="1" showErrorMessage="1" sqref="D6 E53" xr:uid="{8314FCA8-B5AD-4CCF-A04B-F518290D98BB}">
      <formula1>$B$110:$B$111</formula1>
    </dataValidation>
    <dataValidation type="list" showInputMessage="1" showErrorMessage="1" sqref="D10:E10" xr:uid="{20333BB7-8334-4EFC-9E0A-B65B9CB697E2}">
      <formula1>$B$108:$B$109</formula1>
    </dataValidation>
    <dataValidation type="list" allowBlank="1" showInputMessage="1" showErrorMessage="1" sqref="E32" xr:uid="{8B888E6B-F5C3-4C47-A4A6-C2BBB64B85B2}">
      <formula1>$B$116:$B$118</formula1>
    </dataValidation>
    <dataValidation type="list" allowBlank="1" showInputMessage="1" showErrorMessage="1" sqref="E6 E50:E51 E28:E30" xr:uid="{89207E46-D16C-4A0C-97AF-251F59C91CC5}">
      <formula1>$B$120:$B$121</formula1>
    </dataValidation>
  </dataValidations>
  <pageMargins left="0.59055118110236227" right="0.23622047244094491" top="0.31496062992125984" bottom="0.35433070866141736" header="0.15748031496062992" footer="0.19685039370078741"/>
  <pageSetup paperSize="8" scale="40" fitToHeight="0"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959AA-E40A-48E2-9D3F-D39FEF2DC1EA}">
  <sheetPr>
    <tabColor theme="8" tint="-0.249977111117893"/>
  </sheetPr>
  <dimension ref="A1:P97"/>
  <sheetViews>
    <sheetView showGridLines="0" zoomScale="80" zoomScaleNormal="80" workbookViewId="0">
      <pane ySplit="2" topLeftCell="A3" activePane="bottomLeft" state="frozen"/>
      <selection activeCell="B4" sqref="B4"/>
      <selection pane="bottomLeft"/>
    </sheetView>
  </sheetViews>
  <sheetFormatPr defaultColWidth="8.85546875" defaultRowHeight="15" x14ac:dyDescent="0.25"/>
  <cols>
    <col min="1" max="1" width="7.85546875" customWidth="1"/>
    <col min="2" max="2" width="40.85546875" customWidth="1"/>
    <col min="3" max="3" width="19" customWidth="1"/>
    <col min="4" max="7" width="18.140625" customWidth="1"/>
    <col min="8" max="8" width="4.42578125" customWidth="1"/>
    <col min="9" max="16" width="10.85546875" style="178" customWidth="1"/>
  </cols>
  <sheetData>
    <row r="1" spans="1:16" ht="54.95" customHeight="1" thickBot="1" x14ac:dyDescent="0.3">
      <c r="A1" s="185"/>
      <c r="B1" s="545" t="s">
        <v>3090</v>
      </c>
      <c r="C1" s="545"/>
      <c r="F1" s="240"/>
      <c r="I1" s="184"/>
      <c r="J1" s="184"/>
      <c r="K1" s="184"/>
      <c r="L1" s="184"/>
      <c r="M1" s="184"/>
      <c r="N1" s="184"/>
      <c r="O1" s="184"/>
      <c r="P1" s="184"/>
    </row>
    <row r="2" spans="1:16" ht="46.35" customHeight="1" thickBot="1" x14ac:dyDescent="0.3">
      <c r="A2" s="1016" t="s">
        <v>611</v>
      </c>
      <c r="B2" s="1017"/>
      <c r="C2" s="271" t="s">
        <v>2890</v>
      </c>
      <c r="D2" s="271" t="s">
        <v>2892</v>
      </c>
      <c r="E2" s="827" t="s">
        <v>2619</v>
      </c>
      <c r="F2" s="748" t="s">
        <v>2840</v>
      </c>
      <c r="G2" s="749" t="s">
        <v>2841</v>
      </c>
      <c r="I2" s="184"/>
      <c r="J2" s="184"/>
      <c r="K2" s="184"/>
      <c r="L2" s="184"/>
      <c r="M2" s="184"/>
      <c r="N2" s="184"/>
      <c r="O2" s="184"/>
      <c r="P2" s="184"/>
    </row>
    <row r="3" spans="1:16" ht="20.100000000000001" customHeight="1" x14ac:dyDescent="0.25">
      <c r="A3" s="1013" t="s">
        <v>2620</v>
      </c>
      <c r="B3" s="270" t="s">
        <v>2621</v>
      </c>
      <c r="C3" s="954"/>
      <c r="D3" s="640"/>
      <c r="E3" s="823"/>
      <c r="F3" s="831"/>
      <c r="G3" s="832" t="str">
        <f>IF('QT-Resilienza'!E10="","",'QT-Resilienza'!E10)</f>
        <v/>
      </c>
    </row>
    <row r="4" spans="1:16" ht="20.100000000000001" customHeight="1" x14ac:dyDescent="0.25">
      <c r="A4" s="1013"/>
      <c r="B4" s="270" t="s">
        <v>2468</v>
      </c>
      <c r="C4" s="955"/>
      <c r="D4" s="689"/>
      <c r="E4" s="824"/>
      <c r="F4" s="731"/>
      <c r="G4" s="729" t="str">
        <f>'QT-Resilienza'!E25</f>
        <v/>
      </c>
    </row>
    <row r="5" spans="1:16" ht="20.100000000000001" customHeight="1" x14ac:dyDescent="0.25">
      <c r="A5" s="1013"/>
      <c r="B5" s="270" t="s">
        <v>2489</v>
      </c>
      <c r="C5" s="955"/>
      <c r="D5" s="689"/>
      <c r="E5" s="824"/>
      <c r="F5" s="731"/>
      <c r="G5" s="729" t="str">
        <f>'QT-Resilienza'!E66</f>
        <v/>
      </c>
    </row>
    <row r="6" spans="1:16" ht="20.100000000000001" customHeight="1" x14ac:dyDescent="0.25">
      <c r="A6" s="1011"/>
      <c r="B6" s="311" t="s">
        <v>2467</v>
      </c>
      <c r="C6" s="956"/>
      <c r="D6" s="691" t="str">
        <f>IF(C7="A",C6,C9)</f>
        <v/>
      </c>
      <c r="E6" s="825" t="str">
        <f>IF(D7="A",D6,D9)</f>
        <v/>
      </c>
      <c r="F6" s="731"/>
      <c r="G6" s="830" t="str">
        <f>IF('QT-Resilienza'!E71=0,"",'QT-Resilienza'!E71)</f>
        <v/>
      </c>
    </row>
    <row r="7" spans="1:16" ht="20.100000000000001" customHeight="1" x14ac:dyDescent="0.25">
      <c r="A7" s="1013"/>
      <c r="B7" s="270" t="s">
        <v>616</v>
      </c>
      <c r="C7" s="632" t="str">
        <f>IF(OR(C4="",C5=""),"",IF(AND(C4&lt;0.4,C5&lt;=1),"A",IF(AND(C4&lt;0.5,C5&lt;=1),"B",IF(AND(C4&lt;0.7,C5&lt;=1),"C",IF(AND(C4&lt;0.95,C5&lt;=1),"D","E")))))</f>
        <v/>
      </c>
      <c r="D7" s="692" t="str">
        <f>C7</f>
        <v/>
      </c>
      <c r="E7" s="826" t="str">
        <f>D7</f>
        <v/>
      </c>
      <c r="F7" s="731"/>
      <c r="G7" s="705" t="str">
        <f>IF(OR(G4="",G5=""),"",IF(AND(G4&lt;0.4,G5&lt;=1),"A",IF(AND(G4&lt;0.5,G5&lt;=1),"B",IF(AND(G4&lt;0.7,G5&lt;=1),"C",IF(AND(G4&lt;0.95,G5&lt;=1),"D","E")))))</f>
        <v/>
      </c>
    </row>
    <row r="8" spans="1:16" ht="20.100000000000001" customHeight="1" x14ac:dyDescent="0.25">
      <c r="A8" s="1013"/>
      <c r="B8" s="270" t="s">
        <v>628</v>
      </c>
      <c r="C8" s="632" t="str">
        <f>IF(C7="A","Mantenimento",IF(C7="B","+0,2% di DISP",IF(C7="C","+0,5% di DISP",IF(C7="D","+0,7% di DISP",IF(C7="E","+1% di DISP","")))))</f>
        <v/>
      </c>
      <c r="D8" s="694" t="str">
        <f>IF(D7="A","Mantenimento",IF(D7="B","+0,2% di DISP",IF(D7="C","+0,5% di DISP",IF(D7="D","+0,7% di DISP",IF(D7="E","+1% di DISP","")))))</f>
        <v/>
      </c>
      <c r="E8" s="824"/>
      <c r="F8" s="731"/>
      <c r="G8" s="690"/>
    </row>
    <row r="9" spans="1:16" ht="20.100000000000001" customHeight="1" x14ac:dyDescent="0.25">
      <c r="A9" s="1013"/>
      <c r="B9" s="270" t="s">
        <v>2622</v>
      </c>
      <c r="C9" s="695" t="str">
        <f>IF(C7="A","",IF(C7="B",C6+(0.002*C6),IF(C7="C",C6+(0.005*C6),IF(C7="D",C6+(0.007*C6),IF(C7="E",C6+(0.01*C6),"")))))</f>
        <v/>
      </c>
      <c r="D9" s="696" t="str">
        <f>IF(D7="A","",IF(D7="B",D6+(0.002*D6),IF(D7="C",D6+(0.005*D6),IF(D7="D",D6+(0.007*D6),IF(D7="E",D6+(0.01*D6),"")))))</f>
        <v/>
      </c>
      <c r="E9" s="824"/>
      <c r="F9" s="731"/>
      <c r="G9" s="690"/>
    </row>
    <row r="10" spans="1:16" ht="20.100000000000001" customHeight="1" x14ac:dyDescent="0.25">
      <c r="A10" s="1013"/>
      <c r="B10" s="311" t="s">
        <v>3056</v>
      </c>
      <c r="C10" s="641"/>
      <c r="D10" s="689"/>
      <c r="E10" s="828"/>
      <c r="F10" s="731"/>
      <c r="G10" s="933" t="str">
        <f>IF(E7="","",IF(OR(AND(E7="A",G7="A"),AND(G81="SI",E7&lt;&gt;"A",G6&gt;=E6)),"SI","NO"))</f>
        <v/>
      </c>
    </row>
    <row r="11" spans="1:16" s="558" customFormat="1" ht="32.1" customHeight="1" thickBot="1" x14ac:dyDescent="0.3">
      <c r="A11" s="1014"/>
      <c r="B11" s="272" t="s">
        <v>2891</v>
      </c>
      <c r="C11" s="636">
        <v>2023</v>
      </c>
      <c r="D11" s="646"/>
      <c r="E11" s="829"/>
      <c r="F11" s="643"/>
      <c r="G11" s="637"/>
      <c r="I11" s="559"/>
      <c r="J11" s="559"/>
      <c r="K11" s="559"/>
      <c r="L11" s="559"/>
      <c r="M11" s="559"/>
      <c r="N11" s="559"/>
      <c r="O11" s="559"/>
      <c r="P11" s="559"/>
    </row>
    <row r="12" spans="1:16" ht="20.100000000000001" customHeight="1" x14ac:dyDescent="0.25">
      <c r="A12" s="1015" t="s">
        <v>608</v>
      </c>
      <c r="B12" s="269" t="s">
        <v>639</v>
      </c>
      <c r="C12" s="957"/>
      <c r="D12" s="640"/>
      <c r="E12" s="699"/>
      <c r="F12" s="833"/>
      <c r="G12" s="834" t="str">
        <f>'QT-Acquedotto'!E22</f>
        <v/>
      </c>
      <c r="I12" s="184"/>
      <c r="J12" s="184"/>
      <c r="K12" s="184"/>
      <c r="L12" s="184"/>
      <c r="M12" s="184"/>
      <c r="N12" s="184"/>
      <c r="O12" s="184"/>
      <c r="P12" s="184"/>
    </row>
    <row r="13" spans="1:16" ht="20.100000000000001" customHeight="1" x14ac:dyDescent="0.25">
      <c r="A13" s="1011"/>
      <c r="B13" s="422" t="s">
        <v>640</v>
      </c>
      <c r="C13" s="958"/>
      <c r="D13" s="689"/>
      <c r="E13" s="700"/>
      <c r="F13" s="835"/>
      <c r="G13" s="836" t="str">
        <f>IF('QT-Acquedotto'!E23="","",'QT-Acquedotto'!E23)</f>
        <v/>
      </c>
    </row>
    <row r="14" spans="1:16" ht="20.100000000000001" customHeight="1" x14ac:dyDescent="0.25">
      <c r="A14" s="1011"/>
      <c r="B14" s="422" t="s">
        <v>76</v>
      </c>
      <c r="C14" s="639"/>
      <c r="D14" s="701" t="str">
        <f>IF(C16="A",$C14,C18)</f>
        <v/>
      </c>
      <c r="E14" s="702" t="str">
        <f>IF(D16="A",$D14,D18)</f>
        <v/>
      </c>
      <c r="F14" s="835"/>
      <c r="G14" s="837" t="str">
        <f>IF('QT-Acquedotto'!E45="","",'QT-Acquedotto'!E45)</f>
        <v/>
      </c>
    </row>
    <row r="15" spans="1:16" ht="20.100000000000001" customHeight="1" x14ac:dyDescent="0.25">
      <c r="A15" s="1011"/>
      <c r="B15" s="422" t="s">
        <v>80</v>
      </c>
      <c r="C15" s="631"/>
      <c r="D15" s="703" t="str">
        <f>IF(C16="A",C15,IF(C16="B",C15-(0.02*C15),IF(C16="C",C15-(0.04*C15),IF(C16="D",C15-(0.05*C15),IF(C16="E",C15-(0.06*C15),"")))))</f>
        <v/>
      </c>
      <c r="E15" s="704" t="str">
        <f>IF(D16="A",D15,IF(D16="B",D15-(0.02*D15),IF(D16="C",D15-(0.04*D15),IF(D16="D",D15-(0.05*D15),IF(D16="E",D15-(0.06*D15),"")))))</f>
        <v/>
      </c>
      <c r="F15" s="835"/>
      <c r="G15" s="838" t="str">
        <f>IF('QT-Acquedotto'!E46="","",'QT-Acquedotto'!E46)</f>
        <v/>
      </c>
    </row>
    <row r="16" spans="1:16" ht="20.100000000000001" customHeight="1" x14ac:dyDescent="0.25">
      <c r="A16" s="1011"/>
      <c r="B16" s="422" t="s">
        <v>616</v>
      </c>
      <c r="C16" s="633" t="str">
        <f>IF(OR(C14="",C15=""),"",IF(AND(C14&lt;12,C15&lt;0.2),"A",IF(AND(C14&lt;20,C15&lt;0.35),"B",IF(AND(C14&lt;35,C15&lt;0.45),"C",IF(AND(C14&lt;55,C15&lt;0.55),"D","E")))))</f>
        <v/>
      </c>
      <c r="D16" s="694" t="str">
        <f>IF(OR(D14="",D15=""),"",IF(AND(D14&lt;12,D15&lt;0.2),"A",IF(AND(D14&lt;20,D15&lt;0.35),"B",IF(AND(D14&lt;35,D15&lt;0.45),"C",IF(AND(D14&lt;55,D15&lt;0.55),"D","E")))))</f>
        <v/>
      </c>
      <c r="E16" s="705" t="str">
        <f>IF(OR(E14="",E15=""),"",IF(AND(E14&lt;12,E15&lt;0.2),"A",IF(AND(E14&lt;20,E15&lt;0.35),"B",IF(AND(E14&lt;35,E15&lt;0.45),"C",IF(AND(E14&lt;55,E15&lt;0.55),"D","E")))))</f>
        <v/>
      </c>
      <c r="F16" s="835"/>
      <c r="G16" s="839" t="str">
        <f>IF(OR(G14="",G15=""),"",IF(AND(G14&lt;12,G15&lt;0.2),"A",IF(AND(G14&lt;20,G15&lt;0.35),"B",IF(AND(G14&lt;35,G15&lt;0.45),"C",IF(AND(G14&lt;55,G15&lt;0.55),"D","E")))))</f>
        <v/>
      </c>
    </row>
    <row r="17" spans="1:13" ht="20.100000000000001" customHeight="1" x14ac:dyDescent="0.25">
      <c r="A17" s="1011"/>
      <c r="B17" s="422" t="s">
        <v>628</v>
      </c>
      <c r="C17" s="633" t="str">
        <f>IF(C16="A","Mantenimento",IF(C16="B","-2% di M1a",IF(C16="C","-4% di M1a",IF(C16="D","-5% di M1a",IF(C16="E","-6% di M1a","")))))</f>
        <v/>
      </c>
      <c r="D17" s="694" t="str">
        <f>IF(D16="A","Mantenimento",IF(D16="B","-2% di M1a",IF(D16="C","-4% di M1a",IF(D16="D","-5% di M1a",IF(D16="E","-6% di M1a","")))))</f>
        <v/>
      </c>
      <c r="E17" s="690"/>
      <c r="F17" s="835"/>
      <c r="G17" s="690"/>
    </row>
    <row r="18" spans="1:13" ht="20.100000000000001" customHeight="1" x14ac:dyDescent="0.25">
      <c r="A18" s="1011"/>
      <c r="B18" s="422" t="s">
        <v>635</v>
      </c>
      <c r="C18" s="706" t="str">
        <f>IF(C16="A","",IF(C16="B",C14-(0.02*C14),IF(C16="C",C14-(0.04*C14),IF(C16="D",C14-(0.05*C14),IF(C16="E",C14-(0.06*C14),"")))))</f>
        <v/>
      </c>
      <c r="D18" s="707" t="str">
        <f>IF(D16="A","",IF(D16="B",D14-(0.02*D14),IF(D16="C",D14-(0.04*D14),IF(D16="D",D14-(0.05*D14),IF(D16="E",D14-(0.06*D14),"")))))</f>
        <v/>
      </c>
      <c r="E18" s="690"/>
      <c r="F18" s="835"/>
      <c r="G18" s="690"/>
    </row>
    <row r="19" spans="1:13" ht="20.100000000000001" customHeight="1" x14ac:dyDescent="0.25">
      <c r="A19" s="1011"/>
      <c r="B19" s="311" t="s">
        <v>3056</v>
      </c>
      <c r="C19" s="642"/>
      <c r="D19" s="689"/>
      <c r="E19" s="697"/>
      <c r="F19" s="835"/>
      <c r="G19" s="822" t="str">
        <f>IF(E16="","",IF(OR(AND(E16="A",G16="A"),AND(G82="SI",E16&lt;&gt;"A",G14&lt;=E14)),"SI","NO"))</f>
        <v/>
      </c>
    </row>
    <row r="20" spans="1:13" ht="32.1" customHeight="1" thickBot="1" x14ac:dyDescent="0.3">
      <c r="A20" s="1012"/>
      <c r="B20" s="272" t="s">
        <v>2891</v>
      </c>
      <c r="C20" s="648">
        <f>$C$11</f>
        <v>2023</v>
      </c>
      <c r="D20" s="646"/>
      <c r="E20" s="698"/>
      <c r="F20" s="843"/>
      <c r="G20" s="844"/>
    </row>
    <row r="21" spans="1:13" ht="20.100000000000001" customHeight="1" x14ac:dyDescent="0.25">
      <c r="A21" s="1015" t="s">
        <v>126</v>
      </c>
      <c r="B21" s="269" t="s">
        <v>641</v>
      </c>
      <c r="C21" s="957"/>
      <c r="D21" s="640"/>
      <c r="E21" s="840"/>
      <c r="F21" s="833"/>
      <c r="G21" s="845" t="str">
        <f>IF('QT-Acquedotto'!E76="","",'QT-Acquedotto'!E76)</f>
        <v/>
      </c>
    </row>
    <row r="22" spans="1:13" ht="20.100000000000001" customHeight="1" x14ac:dyDescent="0.25">
      <c r="A22" s="1011"/>
      <c r="B22" s="422" t="s">
        <v>126</v>
      </c>
      <c r="C22" s="645"/>
      <c r="D22" s="708" t="str">
        <f>IF(C23="A",C22,C25)</f>
        <v/>
      </c>
      <c r="E22" s="841" t="str">
        <f>IF(D23="A",D22,D25)</f>
        <v/>
      </c>
      <c r="F22" s="835"/>
      <c r="G22" s="846" t="str">
        <f>IF('QT-Acquedotto'!E91="","",'QT-Acquedotto'!E91)</f>
        <v/>
      </c>
    </row>
    <row r="23" spans="1:13" ht="20.100000000000001" customHeight="1" x14ac:dyDescent="0.25">
      <c r="A23" s="1011"/>
      <c r="B23" s="422" t="s">
        <v>616</v>
      </c>
      <c r="C23" s="633" t="str">
        <f>IF(C22="","",IF(C22&lt;0.75,"A",IF(C22&lt;3,"B",IF(C22&lt;10,"C",IF(C22&lt;30,"D","E")))))</f>
        <v/>
      </c>
      <c r="D23" s="709" t="str">
        <f>IF(D22="","",IF(D22&lt;0.75,"A",IF(D22&lt;3,"B",IF(D22&lt;10,"C",IF(D22&lt;30,"D","E")))))</f>
        <v/>
      </c>
      <c r="E23" s="842" t="str">
        <f>IF(E22="","",IF(E22&lt;0.75,"A",IF(E22&lt;3,"B",IF(E22&lt;10,"C",IF(E22&lt;30,"D","E")))))</f>
        <v/>
      </c>
      <c r="F23" s="835"/>
      <c r="G23" s="847" t="str">
        <f>IF(G22="","",IF(G22&lt;0.75,"A",IF(G22&lt;3,"B",IF(G22&lt;10,"C",IF(G22&lt;30,"D","E")))))</f>
        <v/>
      </c>
    </row>
    <row r="24" spans="1:13" ht="20.100000000000001" customHeight="1" x14ac:dyDescent="0.25">
      <c r="A24" s="1011"/>
      <c r="B24" s="422" t="s">
        <v>628</v>
      </c>
      <c r="C24" s="633" t="str">
        <f>IF(C23="A","Mantenimento",IF(C23="B","-2% di M2",IF(C23="C","-4% di M2",IF(C23="D","-6% di M2",IF(C23="E","-8% di M2","")))))</f>
        <v/>
      </c>
      <c r="D24" s="694" t="str">
        <f>IF(D23="A","Mantenimento",IF(D23="B","-2% di M2",IF(D23="C","-4% di M2",IF(D23="D","-6% di M2",IF(D23="E","-8% di M2","")))))</f>
        <v/>
      </c>
      <c r="E24" s="824"/>
      <c r="F24" s="835"/>
      <c r="G24" s="690"/>
    </row>
    <row r="25" spans="1:13" ht="20.100000000000001" customHeight="1" x14ac:dyDescent="0.25">
      <c r="A25" s="1011"/>
      <c r="B25" s="422" t="s">
        <v>2351</v>
      </c>
      <c r="C25" s="706" t="str">
        <f>IF(C23="A","",IF(C23="B",C22-(0.02*C22),IF(C23="C",C22-(0.04*C22),IF(C23="D",C22-(0.06*C22),IF(C23="E",C22-(0.08*C22),"")))))</f>
        <v/>
      </c>
      <c r="D25" s="707" t="str">
        <f>IF(D23="A","",IF(D23="B",D22-(0.02*D22),IF(D23="C",D22-(0.04*D22),IF(D23="D",D22-(0.06*D22),IF(D23="E",D22-(0.08*D22),"")))))</f>
        <v/>
      </c>
      <c r="E25" s="824"/>
      <c r="F25" s="835"/>
      <c r="G25" s="690"/>
    </row>
    <row r="26" spans="1:13" s="178" customFormat="1" ht="20.100000000000001" customHeight="1" x14ac:dyDescent="0.25">
      <c r="A26" s="1011"/>
      <c r="B26" s="311" t="s">
        <v>3056</v>
      </c>
      <c r="C26" s="642"/>
      <c r="D26" s="689"/>
      <c r="E26" s="828"/>
      <c r="F26" s="835"/>
      <c r="G26" s="822" t="str">
        <f>IF(E23="","",IF(OR(AND(E23="A",G23="A"),AND(E23&lt;&gt;"A",G22&lt;=E22)),"SI","NO"))</f>
        <v/>
      </c>
      <c r="H26"/>
    </row>
    <row r="27" spans="1:13" s="178" customFormat="1" ht="32.1" customHeight="1" thickBot="1" x14ac:dyDescent="0.3">
      <c r="A27" s="1012"/>
      <c r="B27" s="272" t="s">
        <v>2891</v>
      </c>
      <c r="C27" s="648">
        <f>$C$11</f>
        <v>2023</v>
      </c>
      <c r="D27" s="646"/>
      <c r="E27" s="829"/>
      <c r="F27" s="853"/>
      <c r="G27" s="844"/>
      <c r="H27"/>
    </row>
    <row r="28" spans="1:13" s="178" customFormat="1" ht="20.100000000000001" customHeight="1" x14ac:dyDescent="0.25">
      <c r="A28" s="1015" t="s">
        <v>609</v>
      </c>
      <c r="B28" s="269" t="s">
        <v>642</v>
      </c>
      <c r="C28" s="957"/>
      <c r="D28" s="640"/>
      <c r="E28" s="840"/>
      <c r="F28" s="854"/>
      <c r="G28" s="845" t="str">
        <f>'QT-Acquedotto'!E123</f>
        <v/>
      </c>
      <c r="H28"/>
    </row>
    <row r="29" spans="1:13" s="178" customFormat="1" ht="20.100000000000001" customHeight="1" x14ac:dyDescent="0.25">
      <c r="A29" s="1011"/>
      <c r="B29" s="422" t="s">
        <v>643</v>
      </c>
      <c r="C29" s="958"/>
      <c r="D29" s="689"/>
      <c r="E29" s="848"/>
      <c r="F29" s="855"/>
      <c r="G29" s="856" t="str">
        <f>IF('QT-Acquedotto'!E124="","",'QT-Acquedotto'!E124)</f>
        <v/>
      </c>
      <c r="H29"/>
    </row>
    <row r="30" spans="1:13" s="178" customFormat="1" ht="20.100000000000001" customHeight="1" x14ac:dyDescent="0.25">
      <c r="A30" s="1011"/>
      <c r="B30" s="422" t="s">
        <v>176</v>
      </c>
      <c r="C30" s="710"/>
      <c r="D30" s="711" t="str">
        <f>IF(C30="","",C30)</f>
        <v/>
      </c>
      <c r="E30" s="849" t="str">
        <f>IF(D30="","",D30)</f>
        <v/>
      </c>
      <c r="F30" s="855"/>
      <c r="G30" s="857" t="str">
        <f>IF('QT-Acquedotto'!E132="","",'QT-Acquedotto'!E132)</f>
        <v/>
      </c>
      <c r="H30"/>
      <c r="J30" s="179"/>
    </row>
    <row r="31" spans="1:13" s="178" customFormat="1" ht="20.100000000000001" customHeight="1" x14ac:dyDescent="0.25">
      <c r="A31" s="1011"/>
      <c r="B31" s="422" t="s">
        <v>180</v>
      </c>
      <c r="C31" s="631"/>
      <c r="D31" s="712" t="str">
        <f>IF(C33="A",C31,C36)</f>
        <v/>
      </c>
      <c r="E31" s="850" t="str">
        <f>IF(D33="A",D31,D36)</f>
        <v/>
      </c>
      <c r="F31" s="855"/>
      <c r="G31" s="858" t="str">
        <f>IF('QT-Acquedotto'!E137="","",'QT-Acquedotto'!E137)</f>
        <v/>
      </c>
      <c r="H31"/>
      <c r="J31" s="180"/>
      <c r="M31" s="181"/>
    </row>
    <row r="32" spans="1:13" s="178" customFormat="1" ht="20.100000000000001" customHeight="1" x14ac:dyDescent="0.25">
      <c r="A32" s="1011"/>
      <c r="B32" s="422" t="s">
        <v>186</v>
      </c>
      <c r="C32" s="713"/>
      <c r="D32" s="714"/>
      <c r="E32" s="851"/>
      <c r="F32" s="855"/>
      <c r="G32" s="859" t="str">
        <f>IF('QT-Acquedotto'!E144="","",'QT-Acquedotto'!E144)</f>
        <v/>
      </c>
      <c r="H32"/>
      <c r="J32" s="180"/>
      <c r="K32" s="182"/>
      <c r="L32" s="183"/>
    </row>
    <row r="33" spans="1:12" s="178" customFormat="1" ht="20.100000000000001" customHeight="1" x14ac:dyDescent="0.25">
      <c r="A33" s="1011"/>
      <c r="B33" s="422" t="s">
        <v>616</v>
      </c>
      <c r="C33" s="633" t="str">
        <f>IF(AND(C30="",C31="",C32=""),"",IF(C30&gt;(0.005/100),"E",IF(AND(C30&lt;=(0.005/100),C31&gt;(5/100)),"D",IF(AND(C30&lt;=(0.005/100),C31&gt;(1/100)),"C",IF(AND(C30&lt;=(0.001/100),C31&lt;=(1/100),C32&lt;=(0.04/100)),"A",IF(AND(C30&lt;=(0.005/100),C31&lt;=(1/100)),"B","B"))))))</f>
        <v/>
      </c>
      <c r="D33" s="694" t="str">
        <f>IF(AND(D30="",D31="",D32=""),"",IF(C33="A","A",IF(D30&gt;(0.005/100),"E",IF(AND(D30&lt;=(0.005/100),D31&gt;(5/100)),"D",IF(AND(D30&lt;=(0.005/100),D31&gt;(1/100)),"C",IF(AND(D30&lt;=(0.005/100),D31&lt;=(1/100)),"B",""))))))</f>
        <v/>
      </c>
      <c r="E33" s="852" t="str">
        <f>IF(AND(E30="",E31="",E32=""),"",IF(D33="A","A",IF(E30&gt;(0.005/100),"E",IF(AND(E30&lt;=(0.005/100),E31&gt;(5/100)),"D",IF(AND(E30&lt;=(0.005/100),E31&gt;(1/100)),"C",IF(AND(E30&lt;=(0.005/100),E31&lt;=(1/100)),"B",""))))))</f>
        <v/>
      </c>
      <c r="F33" s="855"/>
      <c r="G33" s="705" t="str">
        <f>IF(AND(G30="",G31="",G32=""),"",IF(G30&gt;(0.005/100),"E",IF(AND(G30&lt;=(0.005/100),G31&gt;(5/100)),"D",IF(AND(G30&lt;=(0.005/100),G31&gt;(1/100)),"C",IF(AND(G30&lt;=(0.001/100),G31&lt;=(1/100),G32&lt;=(0.04/100)),"A",IF(AND(G30&lt;=(0.005/100),G31&lt;=(1/100)),"B","B"))))))</f>
        <v/>
      </c>
      <c r="H33"/>
      <c r="J33" s="180"/>
      <c r="K33" s="182"/>
      <c r="L33" s="183"/>
    </row>
    <row r="34" spans="1:12" s="178" customFormat="1" ht="28.5" customHeight="1" x14ac:dyDescent="0.25">
      <c r="A34" s="1011"/>
      <c r="B34" s="422" t="s">
        <v>628</v>
      </c>
      <c r="C34" s="633" t="str">
        <f>IF(C33="A","Mantenimento",IF(C33="B","-4% di M3b",IF(C33="C","-6% di M3b",IF(C33="D","-8% di M3b",IF(C33="E","-10% di M3b","")))))</f>
        <v/>
      </c>
      <c r="D34" s="715" t="str">
        <f>IF(C33="A","Mantenimento",IF(C33="B","-4% di M3b",IF(C33="C","-6% di M3b",IF(C33="D","-8% di M3b",IF(C33="E","-10% di M3b","")))))</f>
        <v/>
      </c>
      <c r="E34" s="824"/>
      <c r="F34" s="855"/>
      <c r="G34" s="690"/>
      <c r="H34"/>
      <c r="J34" s="179"/>
    </row>
    <row r="35" spans="1:12" s="178" customFormat="1" ht="20.100000000000001" customHeight="1" x14ac:dyDescent="0.25">
      <c r="A35" s="1011"/>
      <c r="B35" s="422" t="s">
        <v>632</v>
      </c>
      <c r="C35" s="642"/>
      <c r="D35" s="689"/>
      <c r="E35" s="824"/>
      <c r="F35" s="855"/>
      <c r="G35" s="690"/>
      <c r="H35"/>
    </row>
    <row r="36" spans="1:12" s="178" customFormat="1" ht="20.100000000000001" customHeight="1" x14ac:dyDescent="0.25">
      <c r="A36" s="1011"/>
      <c r="B36" s="422" t="s">
        <v>633</v>
      </c>
      <c r="C36" s="716" t="str">
        <f>IF(C33="A","",IF(C33="B",C31-(0.04*C31),IF(C33="C",C31-(0.06*C31),IF(C33="D",C31-(0.08*C31),IF(C33="E",C31-(0.1*C31),"")))))</f>
        <v/>
      </c>
      <c r="D36" s="717" t="str">
        <f>IF(D33="A","",IF(D33="B",D31-(0.04*D31),IF(D33="C",D31-(0.06*D31),IF(D33="D",D31-(0.08*D31),IF(D33="E",D31-(0.1*D31),"")))))</f>
        <v/>
      </c>
      <c r="E36" s="824"/>
      <c r="F36" s="855"/>
      <c r="G36" s="690"/>
      <c r="H36"/>
    </row>
    <row r="37" spans="1:12" s="178" customFormat="1" ht="20.100000000000001" customHeight="1" x14ac:dyDescent="0.25">
      <c r="A37" s="1011"/>
      <c r="B37" s="422" t="s">
        <v>634</v>
      </c>
      <c r="C37" s="642"/>
      <c r="D37" s="689"/>
      <c r="E37" s="851"/>
      <c r="F37" s="855"/>
      <c r="G37" s="690"/>
      <c r="H37"/>
    </row>
    <row r="38" spans="1:12" s="178" customFormat="1" ht="20.100000000000001" customHeight="1" x14ac:dyDescent="0.25">
      <c r="A38" s="1011"/>
      <c r="B38" s="311" t="s">
        <v>3056</v>
      </c>
      <c r="C38" s="642"/>
      <c r="D38" s="689"/>
      <c r="E38" s="828"/>
      <c r="F38" s="855"/>
      <c r="G38" s="822" t="str">
        <f>IF(E33="","",IF(OR(AND(E33="A",G33="A"),AND(G83="SI",E33&lt;&gt;"A",G30&lt;=E30,G31&lt;=E31)),"SI","NO"))</f>
        <v/>
      </c>
      <c r="H38"/>
    </row>
    <row r="39" spans="1:12" s="178" customFormat="1" ht="32.1" customHeight="1" thickBot="1" x14ac:dyDescent="0.3">
      <c r="A39" s="1012"/>
      <c r="B39" s="272" t="s">
        <v>2891</v>
      </c>
      <c r="C39" s="635">
        <f>$C$11</f>
        <v>2023</v>
      </c>
      <c r="D39" s="646"/>
      <c r="E39" s="829"/>
      <c r="F39" s="647"/>
      <c r="G39" s="637"/>
      <c r="H39"/>
    </row>
    <row r="40" spans="1:12" s="178" customFormat="1" ht="20.100000000000001" customHeight="1" x14ac:dyDescent="0.25">
      <c r="A40" s="1015" t="s">
        <v>610</v>
      </c>
      <c r="B40" s="273" t="s">
        <v>644</v>
      </c>
      <c r="C40" s="957"/>
      <c r="D40" s="640"/>
      <c r="E40" s="634"/>
      <c r="F40" s="854"/>
      <c r="G40" s="860" t="str">
        <f>'QT-Fognatura'!E16</f>
        <v/>
      </c>
      <c r="H40"/>
    </row>
    <row r="41" spans="1:12" s="178" customFormat="1" ht="20.100000000000001" customHeight="1" x14ac:dyDescent="0.25">
      <c r="A41" s="1011"/>
      <c r="B41" s="546" t="s">
        <v>645</v>
      </c>
      <c r="C41" s="958"/>
      <c r="D41" s="689"/>
      <c r="E41" s="690"/>
      <c r="F41" s="855"/>
      <c r="G41" s="861" t="str">
        <f>IF('QT-Fognatura'!E17="","",'QT-Fognatura'!E17)</f>
        <v/>
      </c>
      <c r="H41"/>
    </row>
    <row r="42" spans="1:12" ht="20.100000000000001" customHeight="1" x14ac:dyDescent="0.25">
      <c r="A42" s="1011"/>
      <c r="B42" s="422" t="s">
        <v>241</v>
      </c>
      <c r="C42" s="639"/>
      <c r="D42" s="718" t="str">
        <f>IF(C45="","",IF(C45="E",C47,C42))</f>
        <v/>
      </c>
      <c r="E42" s="719" t="str">
        <f>IF(D45="","",IF(D45="E",D47,D42))</f>
        <v/>
      </c>
      <c r="F42" s="855"/>
      <c r="G42" s="862" t="str">
        <f>IF('QT-Fognatura'!E28="","",'QT-Fognatura'!E28)</f>
        <v/>
      </c>
    </row>
    <row r="43" spans="1:12" ht="20.100000000000001" customHeight="1" x14ac:dyDescent="0.25">
      <c r="A43" s="1011"/>
      <c r="B43" s="422" t="s">
        <v>250</v>
      </c>
      <c r="C43" s="720"/>
      <c r="D43" s="721" t="str">
        <f>IF(C45="","",IF(OR(C45="C",C45="D"),C48,C43))</f>
        <v/>
      </c>
      <c r="E43" s="722" t="str">
        <f>IF(D45="","",IF(OR(D45="C",D45="D"),D48,D43))</f>
        <v/>
      </c>
      <c r="F43" s="855"/>
      <c r="G43" s="863" t="str">
        <f>IF('QT-Fognatura'!E32="","",'QT-Fognatura'!E32)</f>
        <v/>
      </c>
    </row>
    <row r="44" spans="1:12" ht="20.100000000000001" customHeight="1" x14ac:dyDescent="0.25">
      <c r="A44" s="1011"/>
      <c r="B44" s="422" t="s">
        <v>260</v>
      </c>
      <c r="C44" s="720"/>
      <c r="D44" s="721" t="str">
        <f>IF(C45="","",IF(C45="B",C49,C44))</f>
        <v/>
      </c>
      <c r="E44" s="722" t="str">
        <f>IF(D45="","",IF(D45="B",D49,D44))</f>
        <v/>
      </c>
      <c r="F44" s="855"/>
      <c r="G44" s="863" t="str">
        <f>IF('QT-Fognatura'!E36="","",'QT-Fognatura'!E36)</f>
        <v/>
      </c>
    </row>
    <row r="45" spans="1:12" ht="20.100000000000001" customHeight="1" x14ac:dyDescent="0.25">
      <c r="A45" s="1011"/>
      <c r="B45" s="422" t="s">
        <v>616</v>
      </c>
      <c r="C45" s="633" t="str">
        <f>IF(C42="","",IF(AND(C42="",C43="",C44=""),"",IF(C42&gt;=5,"E",IF(AND(C42&lt;1,C43=0,C44&lt;=0.1),"A",IF(AND(C42&lt;5,C43=0),"B",IF(AND(C42&lt;5,C43&lt;=0.2),"C",IF(AND(C42&lt;5,C43&gt;0.2),"D","")))))))</f>
        <v/>
      </c>
      <c r="D45" s="694" t="str">
        <f>IF(D42="","",IF(AND(D42="",D43="",D44=""),"",IF(D42&gt;=5,"E",IF(AND(D42&lt;1,D43=0,D44&lt;=0.1),"A",IF(AND(D42&lt;5,D43=0),"B",IF(AND(D42&lt;5,D43&lt;=0.2),"C",IF(AND(D42&lt;5,D43&gt;0.2),"D","")))))))</f>
        <v/>
      </c>
      <c r="E45" s="705" t="str">
        <f>IF(E42="","",IF(AND(E42="",E43="",E44=""),"",IF(E42&gt;=5,"E",IF(AND(E42&lt;1,E43=0,E44&lt;=0.1),"A",IF(AND(E42&lt;5,E43=0),"B",IF(AND(E42&lt;5,E43&lt;=0.2),"C",IF(AND(E42&lt;5,E43&gt;0.2),"D","")))))))</f>
        <v/>
      </c>
      <c r="F45" s="855"/>
      <c r="G45" s="839" t="str">
        <f>IF(G42="","",IF(AND(G42="",G43="",G44=""),"",IF(G42&gt;=5,"E",IF(AND(G42&lt;1,G43=0,G44&lt;=0.1),"A",IF(AND(G42&lt;5,G43=0),"B",IF(AND(G42&lt;5,G43&lt;=0.2),"C",IF(AND(G42&lt;5,G43&gt;0.2),"D","")))))))</f>
        <v/>
      </c>
    </row>
    <row r="46" spans="1:12" ht="20.100000000000001" customHeight="1" x14ac:dyDescent="0.25">
      <c r="A46" s="1011"/>
      <c r="B46" s="422" t="s">
        <v>628</v>
      </c>
      <c r="C46" s="723" t="str">
        <f>IF(C45="E","-10% di M4a",IF(C45="D","-10% di M4b",IF(C45="C","-7% di M4b",IF(C45="B","-5% di M4c",IF(C45="A","Mantenimento","")))))</f>
        <v/>
      </c>
      <c r="D46" s="692" t="str">
        <f>IF(D45="E","-10% di M4a",IF(D45="D","-10% di M4b",IF(D45="C","-7% di M4b",IF(D45="B","-5% di M4c",IF(D45="A","Mantenimento","")))))</f>
        <v/>
      </c>
      <c r="E46" s="690"/>
      <c r="F46" s="855"/>
      <c r="G46" s="690"/>
    </row>
    <row r="47" spans="1:12" ht="20.100000000000001" customHeight="1" x14ac:dyDescent="0.25">
      <c r="A47" s="1011"/>
      <c r="B47" s="422" t="s">
        <v>629</v>
      </c>
      <c r="C47" s="724" t="str">
        <f>IF(C45="E",C42-(0.1*C42),"")</f>
        <v/>
      </c>
      <c r="D47" s="725" t="str">
        <f>IF(D45="E",D42-(0.1*D42),"")</f>
        <v/>
      </c>
      <c r="E47" s="690"/>
      <c r="F47" s="855"/>
      <c r="G47" s="690"/>
    </row>
    <row r="48" spans="1:12" ht="20.100000000000001" customHeight="1" x14ac:dyDescent="0.25">
      <c r="A48" s="1011"/>
      <c r="B48" s="422" t="s">
        <v>630</v>
      </c>
      <c r="C48" s="726" t="str">
        <f>IF(C45="D",(1-0.1)*C43,IF(C45="C",(1-0.07)*C43,""))</f>
        <v/>
      </c>
      <c r="D48" s="727" t="str">
        <f>IF(D45="D",(1-0.1)*D43,IF(D45="C",(1-0.07)*D43,""))</f>
        <v/>
      </c>
      <c r="E48" s="690"/>
      <c r="F48" s="855"/>
      <c r="G48" s="690"/>
    </row>
    <row r="49" spans="1:7" ht="20.100000000000001" customHeight="1" x14ac:dyDescent="0.25">
      <c r="A49" s="1011"/>
      <c r="B49" s="422" t="s">
        <v>631</v>
      </c>
      <c r="C49" s="726" t="str">
        <f>IF(C45="B",(1-0.05)*C44,"")</f>
        <v/>
      </c>
      <c r="D49" s="727" t="str">
        <f>IF(D45="B",(1-0.05)*D44,"")</f>
        <v/>
      </c>
      <c r="E49" s="690"/>
      <c r="F49" s="855"/>
      <c r="G49" s="690"/>
    </row>
    <row r="50" spans="1:7" ht="20.100000000000001" customHeight="1" x14ac:dyDescent="0.25">
      <c r="A50" s="1011"/>
      <c r="B50" s="311" t="s">
        <v>3056</v>
      </c>
      <c r="C50" s="642"/>
      <c r="D50" s="689"/>
      <c r="E50" s="690"/>
      <c r="F50" s="855"/>
      <c r="G50" s="822" t="str">
        <f>IF(E45="","",IF(OR(AND(E45="A",G45="A"),AND(G84="SI",E45&lt;&gt;"A",G42&lt;=E42,G43&lt;=E43,G44&lt;=E44)),"SI","NO"))</f>
        <v/>
      </c>
    </row>
    <row r="51" spans="1:7" ht="32.1" customHeight="1" thickBot="1" x14ac:dyDescent="0.3">
      <c r="A51" s="1012"/>
      <c r="B51" s="272" t="s">
        <v>2891</v>
      </c>
      <c r="C51" s="635">
        <f>$C$11</f>
        <v>2023</v>
      </c>
      <c r="D51" s="646"/>
      <c r="E51" s="644"/>
      <c r="F51" s="843"/>
      <c r="G51" s="844"/>
    </row>
    <row r="52" spans="1:7" ht="20.100000000000001" customHeight="1" x14ac:dyDescent="0.25">
      <c r="A52" s="1015" t="s">
        <v>347</v>
      </c>
      <c r="B52" s="273" t="s">
        <v>646</v>
      </c>
      <c r="C52" s="957"/>
      <c r="D52" s="640"/>
      <c r="E52" s="823"/>
      <c r="F52" s="867"/>
      <c r="G52" s="868" t="str">
        <f>'QT-Depurazione'!E17</f>
        <v/>
      </c>
    </row>
    <row r="53" spans="1:7" ht="20.100000000000001" customHeight="1" x14ac:dyDescent="0.25">
      <c r="A53" s="1011"/>
      <c r="B53" s="546" t="s">
        <v>647</v>
      </c>
      <c r="C53" s="958"/>
      <c r="D53" s="689"/>
      <c r="E53" s="824"/>
      <c r="F53" s="737"/>
      <c r="G53" s="856" t="str">
        <f>IF('QT-Depurazione'!E18="","",'QT-Depurazione'!E18)</f>
        <v/>
      </c>
    </row>
    <row r="54" spans="1:7" ht="20.100000000000001" customHeight="1" x14ac:dyDescent="0.25">
      <c r="A54" s="1011"/>
      <c r="B54" s="547" t="s">
        <v>617</v>
      </c>
      <c r="C54" s="645"/>
      <c r="D54" s="728" t="str">
        <f>IF(C57="A",C54,C59)</f>
        <v/>
      </c>
      <c r="E54" s="864" t="str">
        <f>IF(D57="A",D54,D59)</f>
        <v/>
      </c>
      <c r="F54" s="737"/>
      <c r="G54" s="729" t="str">
        <f>IF('QT-Depurazione'!E31="","",'QT-Depurazione'!E31)</f>
        <v/>
      </c>
    </row>
    <row r="55" spans="1:7" ht="20.100000000000001" customHeight="1" x14ac:dyDescent="0.25">
      <c r="A55" s="1011"/>
      <c r="B55" s="547" t="s">
        <v>345</v>
      </c>
      <c r="C55" s="730"/>
      <c r="D55" s="731"/>
      <c r="E55" s="824"/>
      <c r="F55" s="737"/>
      <c r="G55" s="869" t="str">
        <f>IF('QT-Depurazione'!E32="","",'QT-Depurazione'!E32)</f>
        <v/>
      </c>
    </row>
    <row r="56" spans="1:7" ht="20.100000000000001" customHeight="1" x14ac:dyDescent="0.25">
      <c r="A56" s="1011"/>
      <c r="B56" s="422" t="s">
        <v>347</v>
      </c>
      <c r="C56" s="631"/>
      <c r="D56" s="731"/>
      <c r="E56" s="824"/>
      <c r="F56" s="737"/>
      <c r="G56" s="734" t="str">
        <f>IF('QT-Depurazione'!E33="","",'QT-Depurazione'!E33)</f>
        <v/>
      </c>
    </row>
    <row r="57" spans="1:7" ht="20.100000000000001" customHeight="1" x14ac:dyDescent="0.25">
      <c r="A57" s="1011"/>
      <c r="B57" s="422" t="s">
        <v>616</v>
      </c>
      <c r="C57" s="723" t="str">
        <f>IF(C56="","",IF(C56&gt;0.3,"E",IF(AND(C56&gt;0.2,C56&lt;=0.3),"D",IF(AND(C56&gt;0.1,C56&lt;=0.2),"C",IF(AND(C56&gt;0.03,C56&lt;=0.1),"B","A")))))</f>
        <v/>
      </c>
      <c r="D57" s="692" t="str">
        <f>C57</f>
        <v/>
      </c>
      <c r="E57" s="826" t="str">
        <f>D57</f>
        <v/>
      </c>
      <c r="F57" s="737"/>
      <c r="G57" s="693" t="str">
        <f>IF(G56="","",IF(G56&gt;0.3,"E",IF(AND(G56&gt;0.2,G56&lt;=0.3),"D",IF(AND(G56&gt;0.1,G56&lt;=0.2),"C",IF(AND(G56&gt;0.03,G56&lt;=0.1),"B","A")))))</f>
        <v/>
      </c>
    </row>
    <row r="58" spans="1:7" ht="20.100000000000001" customHeight="1" x14ac:dyDescent="0.25">
      <c r="A58" s="1011"/>
      <c r="B58" s="422" t="s">
        <v>628</v>
      </c>
      <c r="C58" s="723" t="str">
        <f>IF(C57="A","Mantenimento",IF(C57="B","-1% di MF tq,disc",IF(C57="C","-2% di MF tq,disc",IF(C57="D","-3% di MF tq,disc",IF(C57="E","-5% di MF tq,disc","")))))</f>
        <v/>
      </c>
      <c r="D58" s="692" t="str">
        <f>IF(D57="A","Mantenimento",IF(D57="B","-1% di MF tq,disc",IF(D57="C","-2% di MF tq,disc",IF(D57="D","-3% di MF tq,disc",IF(D57="E","-5% di MF tq,disc","")))))</f>
        <v/>
      </c>
      <c r="E58" s="824"/>
      <c r="F58" s="737"/>
      <c r="G58" s="690"/>
    </row>
    <row r="59" spans="1:7" ht="20.100000000000001" customHeight="1" x14ac:dyDescent="0.25">
      <c r="A59" s="1011"/>
      <c r="B59" s="422" t="s">
        <v>637</v>
      </c>
      <c r="C59" s="732" t="str">
        <f>IF(C57="A","",IF(C57="B",C54-(0.01*C54),IF(C57="C",C54-(0.02*C54),IF(C57="D",C54-(0.03*C54),IF(C57="E",C54-(0.05*C54),"")))))</f>
        <v/>
      </c>
      <c r="D59" s="707" t="str">
        <f>IF(D57="A","",IF(D57="B",D54-(0.01*D54),IF(D57="C",D54-(0.02*D54),IF(D57="D",D54-(0.03*D54),IF(D57="E",D54-(0.05*D54),"")))))</f>
        <v/>
      </c>
      <c r="E59" s="824"/>
      <c r="F59" s="737"/>
      <c r="G59" s="690"/>
    </row>
    <row r="60" spans="1:7" ht="20.100000000000001" customHeight="1" x14ac:dyDescent="0.25">
      <c r="A60" s="1011"/>
      <c r="B60" s="311" t="s">
        <v>3056</v>
      </c>
      <c r="C60" s="642"/>
      <c r="D60" s="689"/>
      <c r="E60" s="865"/>
      <c r="F60" s="737"/>
      <c r="G60" s="822" t="str">
        <f>IF(E57="","",IF(OR(AND(E57="A",G57="A"),AND(G85="SI",E57&lt;&gt;"A",G54&lt;=E54)),"SI","NO"))</f>
        <v/>
      </c>
    </row>
    <row r="61" spans="1:7" ht="32.1" customHeight="1" thickBot="1" x14ac:dyDescent="0.3">
      <c r="A61" s="1012"/>
      <c r="B61" s="272" t="s">
        <v>2891</v>
      </c>
      <c r="C61" s="635">
        <f>$C$11</f>
        <v>2023</v>
      </c>
      <c r="D61" s="646"/>
      <c r="E61" s="866"/>
      <c r="F61" s="647"/>
      <c r="G61" s="637"/>
    </row>
    <row r="62" spans="1:7" ht="20.100000000000001" customHeight="1" x14ac:dyDescent="0.25">
      <c r="A62" s="1010" t="s">
        <v>410</v>
      </c>
      <c r="B62" s="548" t="s">
        <v>648</v>
      </c>
      <c r="C62" s="957"/>
      <c r="D62" s="640"/>
      <c r="E62" s="634"/>
      <c r="F62" s="867"/>
      <c r="G62" s="860" t="str">
        <f>'QT-Depurazione'!E84</f>
        <v/>
      </c>
    </row>
    <row r="63" spans="1:7" ht="20.100000000000001" customHeight="1" x14ac:dyDescent="0.25">
      <c r="A63" s="1011"/>
      <c r="B63" s="546" t="s">
        <v>649</v>
      </c>
      <c r="C63" s="958"/>
      <c r="D63" s="689"/>
      <c r="E63" s="690"/>
      <c r="F63" s="737"/>
      <c r="G63" s="861" t="str">
        <f>IF('QT-Depurazione'!E85="","",'QT-Depurazione'!E85)</f>
        <v/>
      </c>
    </row>
    <row r="64" spans="1:7" ht="20.100000000000001" customHeight="1" x14ac:dyDescent="0.25">
      <c r="A64" s="1011"/>
      <c r="B64" s="422" t="s">
        <v>410</v>
      </c>
      <c r="C64" s="631"/>
      <c r="D64" s="733" t="str">
        <f>IF(C65="A",C64,C67)</f>
        <v/>
      </c>
      <c r="E64" s="734" t="str">
        <f>IF(D65="A",D64,D67)</f>
        <v/>
      </c>
      <c r="F64" s="737"/>
      <c r="G64" s="838" t="str">
        <f>IF('QT-Depurazione'!E122="","",'QT-Depurazione'!E122)</f>
        <v/>
      </c>
    </row>
    <row r="65" spans="1:7" ht="20.100000000000001" customHeight="1" x14ac:dyDescent="0.25">
      <c r="A65" s="1011"/>
      <c r="B65" s="422" t="s">
        <v>616</v>
      </c>
      <c r="C65" s="633" t="str">
        <f>IF(C64="","",IF(C64&gt;=(15/100),"E",IF(C64&gt;=(10/100),"D",IF(C64&gt;=(5/100),"C",IF(C64&gt;=(1/100),"B","A")))))</f>
        <v/>
      </c>
      <c r="D65" s="694" t="str">
        <f>IF(D64="","",IF(D64&gt;=(15/100),"E",IF(D64&gt;=(10/100),"D",IF(D64&gt;=(5/100),"C",IF(D64&gt;=(1/100),"B","A")))))</f>
        <v/>
      </c>
      <c r="E65" s="705" t="str">
        <f>IF(E64="","",IF(E64&gt;=(15/100),"E",IF(E64&gt;=(10/100),"D",IF(E64&gt;=(5/100),"C",IF(E64&gt;=(1/100),"B","A")))))</f>
        <v/>
      </c>
      <c r="F65" s="737"/>
      <c r="G65" s="839" t="str">
        <f>IF(G64="","",IF(G64&gt;=(15/100),"E",IF(G64&gt;=(10/100),"D",IF(G64&gt;=(5/100),"C",IF(G64&gt;=(1/100),"B","A")))))</f>
        <v/>
      </c>
    </row>
    <row r="66" spans="1:7" ht="20.100000000000001" customHeight="1" x14ac:dyDescent="0.25">
      <c r="A66" s="1011"/>
      <c r="B66" s="422" t="s">
        <v>628</v>
      </c>
      <c r="C66" s="633" t="str">
        <f>IF(C65="A","Mantenimento",IF(C65="B","-6% di M6",IF(C65="C","-10% di M6",IF(C65="D","-15% di M6",IF(C65="E","-20% di M6","")))))</f>
        <v/>
      </c>
      <c r="D66" s="694" t="str">
        <f>IF(D65="A","Mantenimento",IF(D65="B","-6% di M6",IF(D65="C","-10% di M6",IF(D65="D","-15% di M6",IF(D65="E","-20% di M6","")))))</f>
        <v/>
      </c>
      <c r="E66" s="690"/>
      <c r="F66" s="737"/>
      <c r="G66" s="690"/>
    </row>
    <row r="67" spans="1:7" ht="20.100000000000001" customHeight="1" x14ac:dyDescent="0.25">
      <c r="A67" s="1011"/>
      <c r="B67" s="422" t="s">
        <v>636</v>
      </c>
      <c r="C67" s="735" t="str">
        <f>IF(C65="A","",IF(C65="B",C64-(0.06*C64),IF(C65="C",C64-(0.1*C64),IF(C65="D",C64-(0.15*C64),IF(C65="E",C64-(0.2*C64),"")))))</f>
        <v/>
      </c>
      <c r="D67" s="736" t="str">
        <f>IF(D65="A","",IF(D65="B",D64-(0.06*D64),IF(D65="C",D64-(0.1*D64),IF(D65="D",D64-(0.15*D64),IF(D65="E",D64-(0.2*D64),"")))))</f>
        <v/>
      </c>
      <c r="E67" s="690"/>
      <c r="F67" s="737"/>
      <c r="G67" s="690"/>
    </row>
    <row r="68" spans="1:7" ht="20.100000000000001" customHeight="1" x14ac:dyDescent="0.25">
      <c r="A68" s="1011"/>
      <c r="B68" s="311" t="s">
        <v>3056</v>
      </c>
      <c r="C68" s="642"/>
      <c r="D68" s="737"/>
      <c r="E68" s="690"/>
      <c r="F68" s="737"/>
      <c r="G68" s="822" t="str">
        <f>IF(E65="","",IF(OR(AND(E65="A",G65="A"),AND(E65&lt;&gt;"A",G64&lt;=E64)),"SI","NO"))</f>
        <v/>
      </c>
    </row>
    <row r="69" spans="1:7" ht="32.1" customHeight="1" thickBot="1" x14ac:dyDescent="0.3">
      <c r="A69" s="1012"/>
      <c r="B69" s="272" t="s">
        <v>2891</v>
      </c>
      <c r="C69" s="635">
        <f>$C$11</f>
        <v>2023</v>
      </c>
      <c r="D69" s="646"/>
      <c r="E69" s="644"/>
      <c r="F69" s="843"/>
      <c r="G69" s="844"/>
    </row>
    <row r="70" spans="1:7" ht="20.100000000000001" customHeight="1" x14ac:dyDescent="0.25">
      <c r="A70" s="1015" t="s">
        <v>2842</v>
      </c>
      <c r="B70" s="273" t="s">
        <v>648</v>
      </c>
      <c r="C70" s="959" t="str">
        <f>IF(C62="","",C62)</f>
        <v/>
      </c>
      <c r="D70" s="640"/>
      <c r="E70" s="823"/>
      <c r="F70" s="867"/>
      <c r="G70" s="868" t="str">
        <f>'QT-Depurazione'!E84</f>
        <v/>
      </c>
    </row>
    <row r="71" spans="1:7" ht="20.100000000000001" customHeight="1" x14ac:dyDescent="0.25">
      <c r="A71" s="1011"/>
      <c r="B71" s="313" t="s">
        <v>649</v>
      </c>
      <c r="C71" s="960" t="str">
        <f>IF(C63="","",C63)</f>
        <v/>
      </c>
      <c r="D71" s="689"/>
      <c r="E71" s="824"/>
      <c r="F71" s="737"/>
      <c r="G71" s="856" t="str">
        <f>IF('QT-Depurazione'!E85="","",'QT-Depurazione'!E85)</f>
        <v/>
      </c>
    </row>
    <row r="72" spans="1:7" ht="20.100000000000001" customHeight="1" x14ac:dyDescent="0.25">
      <c r="A72" s="1011"/>
      <c r="B72" s="311" t="s">
        <v>2842</v>
      </c>
      <c r="C72" s="688"/>
      <c r="D72" s="689"/>
      <c r="E72" s="870" t="str">
        <f>C75</f>
        <v/>
      </c>
      <c r="F72" s="737"/>
      <c r="G72" s="734" t="str">
        <f>'QT-Depurazione'!E136</f>
        <v/>
      </c>
    </row>
    <row r="73" spans="1:7" ht="20.100000000000001" customHeight="1" x14ac:dyDescent="0.25">
      <c r="A73" s="1011"/>
      <c r="B73" s="311" t="s">
        <v>616</v>
      </c>
      <c r="C73" s="633" t="str">
        <f>IF(C72="","",IF(C72&lt;0.05,"A",IF(C72&lt;=0.45,"B",IF(C72&lt;=0.7,"C","D"))))</f>
        <v/>
      </c>
      <c r="D73" s="689"/>
      <c r="E73" s="852" t="str">
        <f>IF(E72="","",IF(E72&lt;0.05,"A",IF(E72&lt;=0.45,"B",IF(E72&lt;=0.7,"C","D"))))</f>
        <v/>
      </c>
      <c r="F73" s="737"/>
      <c r="G73" s="705" t="str">
        <f>IF(G72="","",IF(G72&lt;0.05,"A",IF(G72&lt;=0.45,"B",IF(G72&lt;=0.7,"C","D"))))</f>
        <v/>
      </c>
    </row>
    <row r="74" spans="1:7" ht="20.100000000000001" customHeight="1" x14ac:dyDescent="0.25">
      <c r="A74" s="1011"/>
      <c r="B74" s="422" t="s">
        <v>2881</v>
      </c>
      <c r="C74" s="633" t="str">
        <f>IF(C73="","",IF(C73="A","RIU_2023",IF(C73="B","RIU_2023-0,02",IF(C73="C","RIU_2023-0,05","RIU_2023-0,1"))))</f>
        <v/>
      </c>
      <c r="D74" s="738"/>
      <c r="E74" s="871"/>
      <c r="F74" s="737"/>
      <c r="G74" s="739"/>
    </row>
    <row r="75" spans="1:7" ht="20.100000000000001" customHeight="1" x14ac:dyDescent="0.25">
      <c r="A75" s="1011"/>
      <c r="B75" s="422" t="s">
        <v>2882</v>
      </c>
      <c r="C75" s="735" t="str">
        <f>IF(C73="","",IF(C73="A",C72,IF(C73="B",C72-0.02,IF(C73="C",C72-0.05,C72-0.1))))</f>
        <v/>
      </c>
      <c r="D75" s="740"/>
      <c r="E75" s="871"/>
      <c r="F75" s="737"/>
      <c r="G75" s="739"/>
    </row>
    <row r="76" spans="1:7" ht="20.100000000000001" customHeight="1" x14ac:dyDescent="0.25">
      <c r="A76" s="1011"/>
      <c r="B76" s="311" t="s">
        <v>3056</v>
      </c>
      <c r="C76" s="642"/>
      <c r="D76" s="737"/>
      <c r="E76" s="824"/>
      <c r="F76" s="737"/>
      <c r="G76" s="822" t="str">
        <f>IF(E73="","",IF(OR(AND(E73="A",G73="A"),AND(E73&lt;&gt;"A",G72&lt;=E72)),"SI","NO"))</f>
        <v/>
      </c>
    </row>
    <row r="77" spans="1:7" ht="32.1" customHeight="1" thickBot="1" x14ac:dyDescent="0.3">
      <c r="A77" s="1012"/>
      <c r="B77" s="272" t="s">
        <v>2891</v>
      </c>
      <c r="C77" s="635">
        <f>$C$11</f>
        <v>2023</v>
      </c>
      <c r="D77" s="646"/>
      <c r="E77" s="866"/>
      <c r="F77" s="647"/>
      <c r="G77" s="630"/>
    </row>
    <row r="79" spans="1:7" x14ac:dyDescent="0.25">
      <c r="D79" s="549" t="s">
        <v>2889</v>
      </c>
    </row>
    <row r="80" spans="1:7" x14ac:dyDescent="0.25">
      <c r="F80" s="550">
        <v>2024</v>
      </c>
      <c r="G80" s="550">
        <v>2025</v>
      </c>
    </row>
    <row r="81" spans="4:16" x14ac:dyDescent="0.25">
      <c r="D81" s="551" t="s">
        <v>2620</v>
      </c>
      <c r="F81" s="553"/>
      <c r="G81" s="638" t="str">
        <f>IF(OR(E7="",G7=""),"",IF(AND(E7="A",G7&lt;&gt;"A"),"NO",IF(AND(E7="B",OR(G7="C",G7="D",G7="E")),"NO",IF(AND(E7="C",OR(G7="D",G7="E")),"NO",IF(AND(E7="D",G7="E"),"NO","SI")))))</f>
        <v/>
      </c>
    </row>
    <row r="82" spans="4:16" x14ac:dyDescent="0.25">
      <c r="D82" s="551" t="s">
        <v>608</v>
      </c>
      <c r="E82" s="552"/>
      <c r="F82" s="553"/>
      <c r="G82" s="554" t="str">
        <f>IF(OR(E16="",G16=""),"",IF(AND(E16="A",G16&lt;&gt;"A"),"NO",IF(AND(E16="B",OR(G16="C",G16="D",G16="E")),"NO",IF(AND(E16="C",OR(G16="D",G16="E")),"NO",IF(AND(E16="D",G16="E"),"NO","SI")))))</f>
        <v/>
      </c>
    </row>
    <row r="83" spans="4:16" x14ac:dyDescent="0.25">
      <c r="D83" s="551" t="s">
        <v>609</v>
      </c>
      <c r="E83" s="552"/>
      <c r="F83" s="553"/>
      <c r="G83" s="554" t="str">
        <f>IF(OR(E33="",G33=""),"",IF(AND(E33="A",G33&lt;&gt;"A"),"NO",IF(AND(E33="B",OR(G33="C",G33="D",G33="E")),"NO",IF(AND(E33="C",OR(G33="D",G33="E")),"NO",IF(AND(E33="D",G33="E"),"NO","SI")))))</f>
        <v/>
      </c>
    </row>
    <row r="84" spans="4:16" x14ac:dyDescent="0.25">
      <c r="D84" s="551" t="s">
        <v>610</v>
      </c>
      <c r="E84" s="552"/>
      <c r="F84" s="553"/>
      <c r="G84" s="554" t="str">
        <f>IF(OR(E45="",G45=""),"",IF(AND(E45="A",G45&lt;&gt;"A"),"NO",IF(AND(E45="B",OR(G45="C",G45="D",G45="E")),"NO",IF(AND(E45="C",OR(G45="D",G45="E")),"NO",IF(AND(E45="D",G45="E"),"NO","SI")))))</f>
        <v/>
      </c>
    </row>
    <row r="85" spans="4:16" x14ac:dyDescent="0.25">
      <c r="D85" s="551" t="s">
        <v>347</v>
      </c>
      <c r="E85" s="552"/>
      <c r="F85" s="553"/>
      <c r="G85" s="554" t="str">
        <f>IF(OR(E57="",G57=""),"",IF(AND(E57="A",G57&lt;&gt;"A"),"NO",IF(AND(E57="B",OR(G57="C",G57="D",G57="E")),"NO",IF(AND(E57="C",OR(G57="D",G57="E")),"NO",IF(AND(E57="D",G57="E"),"NO","SI")))))</f>
        <v/>
      </c>
    </row>
    <row r="87" spans="4:16" x14ac:dyDescent="0.25">
      <c r="D87" s="102"/>
    </row>
    <row r="94" spans="4:16" x14ac:dyDescent="0.25">
      <c r="D94" s="555" t="s">
        <v>469</v>
      </c>
      <c r="I94"/>
      <c r="J94"/>
      <c r="K94"/>
      <c r="L94"/>
      <c r="M94"/>
      <c r="N94"/>
      <c r="O94"/>
      <c r="P94"/>
    </row>
    <row r="95" spans="4:16" x14ac:dyDescent="0.25">
      <c r="D95" s="555" t="s">
        <v>470</v>
      </c>
      <c r="I95"/>
      <c r="J95"/>
      <c r="K95"/>
      <c r="L95"/>
      <c r="M95"/>
      <c r="N95"/>
      <c r="O95"/>
      <c r="P95"/>
    </row>
    <row r="96" spans="4:16" x14ac:dyDescent="0.25">
      <c r="D96" s="555" t="s">
        <v>5</v>
      </c>
      <c r="I96"/>
      <c r="J96"/>
      <c r="K96"/>
      <c r="L96"/>
      <c r="M96"/>
      <c r="N96"/>
      <c r="O96"/>
      <c r="P96"/>
    </row>
    <row r="97" spans="4:16" x14ac:dyDescent="0.25">
      <c r="D97" s="555" t="s">
        <v>6</v>
      </c>
      <c r="I97"/>
      <c r="J97"/>
      <c r="K97"/>
      <c r="L97"/>
      <c r="M97"/>
      <c r="N97"/>
      <c r="O97"/>
      <c r="P97"/>
    </row>
  </sheetData>
  <sheetProtection algorithmName="SHA-512" hashValue="BJFXZYMiLC3v4YYQuOZZ6NDDIpV/Xen2MkMXV4wqs+tqkHa2/Ar1CsDbbTyuGq/Rdqzxu0i85ekF31SZo6urRg==" saltValue="UzSDvZJ2eXOAh4JJZv6Ujg==" spinCount="100000" sheet="1" objects="1" scenarios="1"/>
  <mergeCells count="9">
    <mergeCell ref="A62:A69"/>
    <mergeCell ref="A3:A11"/>
    <mergeCell ref="A70:A77"/>
    <mergeCell ref="A2:B2"/>
    <mergeCell ref="A12:A20"/>
    <mergeCell ref="A21:A27"/>
    <mergeCell ref="A28:A39"/>
    <mergeCell ref="A40:A51"/>
    <mergeCell ref="A52:A61"/>
  </mergeCells>
  <conditionalFormatting sqref="G10">
    <cfRule type="containsText" dxfId="15" priority="15" operator="containsText" text="NO">
      <formula>NOT(ISERROR(SEARCH("NO",G10)))</formula>
    </cfRule>
    <cfRule type="containsText" dxfId="14" priority="16" operator="containsText" text="SI">
      <formula>NOT(ISERROR(SEARCH("SI",G10)))</formula>
    </cfRule>
  </conditionalFormatting>
  <conditionalFormatting sqref="G19">
    <cfRule type="containsText" dxfId="13" priority="13" operator="containsText" text="NO">
      <formula>NOT(ISERROR(SEARCH("NO",G19)))</formula>
    </cfRule>
    <cfRule type="containsText" dxfId="12" priority="14" operator="containsText" text="SI">
      <formula>NOT(ISERROR(SEARCH("SI",G19)))</formula>
    </cfRule>
  </conditionalFormatting>
  <conditionalFormatting sqref="G26">
    <cfRule type="containsText" dxfId="11" priority="11" operator="containsText" text="NO">
      <formula>NOT(ISERROR(SEARCH("NO",G26)))</formula>
    </cfRule>
    <cfRule type="containsText" dxfId="10" priority="12" operator="containsText" text="SI">
      <formula>NOT(ISERROR(SEARCH("SI",G26)))</formula>
    </cfRule>
  </conditionalFormatting>
  <conditionalFormatting sqref="G38">
    <cfRule type="containsText" dxfId="9" priority="9" operator="containsText" text="NO">
      <formula>NOT(ISERROR(SEARCH("NO",G38)))</formula>
    </cfRule>
    <cfRule type="containsText" dxfId="8" priority="10" operator="containsText" text="SI">
      <formula>NOT(ISERROR(SEARCH("SI",G38)))</formula>
    </cfRule>
  </conditionalFormatting>
  <conditionalFormatting sqref="G50">
    <cfRule type="containsText" dxfId="7" priority="7" operator="containsText" text="NO">
      <formula>NOT(ISERROR(SEARCH("NO",G50)))</formula>
    </cfRule>
    <cfRule type="containsText" dxfId="6" priority="8" operator="containsText" text="SI">
      <formula>NOT(ISERROR(SEARCH("SI",G50)))</formula>
    </cfRule>
  </conditionalFormatting>
  <conditionalFormatting sqref="G60">
    <cfRule type="containsText" dxfId="5" priority="5" operator="containsText" text="NO">
      <formula>NOT(ISERROR(SEARCH("NO",G60)))</formula>
    </cfRule>
    <cfRule type="containsText" dxfId="4" priority="6" operator="containsText" text="SI">
      <formula>NOT(ISERROR(SEARCH("SI",G60)))</formula>
    </cfRule>
  </conditionalFormatting>
  <conditionalFormatting sqref="G68">
    <cfRule type="containsText" dxfId="3" priority="3" operator="containsText" text="NO">
      <formula>NOT(ISERROR(SEARCH("NO",G68)))</formula>
    </cfRule>
    <cfRule type="containsText" dxfId="2" priority="4" operator="containsText" text="SI">
      <formula>NOT(ISERROR(SEARCH("SI",G68)))</formula>
    </cfRule>
  </conditionalFormatting>
  <conditionalFormatting sqref="G76">
    <cfRule type="containsText" dxfId="1" priority="1" operator="containsText" text="NO">
      <formula>NOT(ISERROR(SEARCH("NO",G76)))</formula>
    </cfRule>
    <cfRule type="containsText" dxfId="0" priority="2" operator="containsText" text="SI">
      <formula>NOT(ISERROR(SEARCH("SI",G76)))</formula>
    </cfRule>
  </conditionalFormatting>
  <dataValidations disablePrompts="1" count="2">
    <dataValidation type="list" allowBlank="1" showInputMessage="1" showErrorMessage="1" sqref="C52 C62 C40 C28 C12" xr:uid="{DB7CB0F3-1C57-43FF-B8E8-CB7D57B825DE}">
      <formula1>$D$96:$D$97</formula1>
    </dataValidation>
    <dataValidation type="list" allowBlank="1" showInputMessage="1" showErrorMessage="1" sqref="C3 C63 C53 C41 C29 C21 C13" xr:uid="{0724DF77-6428-4BBF-941E-BDFA7305AE24}">
      <formula1>$D$94:$D$95</formula1>
    </dataValidation>
  </dataValidations>
  <pageMargins left="0.43307086614173229" right="0.35433070866141736" top="0.37" bottom="0.44" header="0.22" footer="0.22"/>
  <pageSetup paperSize="9" scale="95" orientation="landscape" r:id="rId1"/>
  <rowBreaks count="1" manualBreakCount="1">
    <brk id="51"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9">
    <tabColor theme="7" tint="0.39997558519241921"/>
  </sheetPr>
  <dimension ref="B1:I1882"/>
  <sheetViews>
    <sheetView showGridLines="0" zoomScale="80" zoomScaleNormal="80" workbookViewId="0">
      <selection activeCell="I1" sqref="I1"/>
    </sheetView>
  </sheetViews>
  <sheetFormatPr defaultColWidth="8.85546875" defaultRowHeight="12.75" x14ac:dyDescent="0.2"/>
  <cols>
    <col min="1" max="1" width="5.140625" style="90" customWidth="1"/>
    <col min="2" max="2" width="13.140625" style="90" customWidth="1"/>
    <col min="3" max="3" width="50.85546875" style="90" customWidth="1"/>
    <col min="4" max="5" width="5.140625" style="90" customWidth="1"/>
    <col min="6" max="6" width="16.85546875" style="90" customWidth="1"/>
    <col min="7" max="7" width="83.42578125" style="90" customWidth="1"/>
    <col min="8" max="16384" width="8.85546875" style="90"/>
  </cols>
  <sheetData>
    <row r="1" spans="2:9" x14ac:dyDescent="0.2">
      <c r="I1" s="950" t="s">
        <v>3329</v>
      </c>
    </row>
    <row r="2" spans="2:9" x14ac:dyDescent="0.2">
      <c r="B2" s="89" t="s">
        <v>1621</v>
      </c>
      <c r="C2" s="89" t="s">
        <v>652</v>
      </c>
      <c r="F2" s="89" t="s">
        <v>1622</v>
      </c>
      <c r="G2" s="91" t="s">
        <v>654</v>
      </c>
    </row>
    <row r="3" spans="2:9" x14ac:dyDescent="0.2">
      <c r="B3" s="92">
        <v>101</v>
      </c>
      <c r="C3" s="92" t="s">
        <v>1598</v>
      </c>
      <c r="F3" s="421">
        <v>5</v>
      </c>
      <c r="G3" s="421" t="s">
        <v>1599</v>
      </c>
    </row>
    <row r="4" spans="2:9" x14ac:dyDescent="0.2">
      <c r="B4" s="92">
        <v>102</v>
      </c>
      <c r="C4" s="92" t="s">
        <v>1596</v>
      </c>
      <c r="F4" s="421">
        <v>52</v>
      </c>
      <c r="G4" s="421" t="s">
        <v>1597</v>
      </c>
    </row>
    <row r="5" spans="2:9" x14ac:dyDescent="0.2">
      <c r="B5" s="92">
        <v>103</v>
      </c>
      <c r="C5" s="92" t="s">
        <v>1594</v>
      </c>
      <c r="F5" s="421">
        <v>55</v>
      </c>
      <c r="G5" s="421" t="s">
        <v>1595</v>
      </c>
    </row>
    <row r="6" spans="2:9" x14ac:dyDescent="0.2">
      <c r="B6" s="92">
        <v>104</v>
      </c>
      <c r="C6" s="92" t="s">
        <v>1593</v>
      </c>
      <c r="F6" s="421">
        <v>78</v>
      </c>
      <c r="G6" s="421" t="s">
        <v>1623</v>
      </c>
    </row>
    <row r="7" spans="2:9" x14ac:dyDescent="0.2">
      <c r="B7" s="92">
        <v>105</v>
      </c>
      <c r="C7" s="92" t="s">
        <v>1592</v>
      </c>
      <c r="F7" s="421">
        <v>79</v>
      </c>
      <c r="G7" s="421" t="s">
        <v>2635</v>
      </c>
    </row>
    <row r="8" spans="2:9" x14ac:dyDescent="0.2">
      <c r="B8" s="92">
        <v>106</v>
      </c>
      <c r="C8" s="92" t="s">
        <v>1591</v>
      </c>
      <c r="F8" s="421">
        <v>183</v>
      </c>
      <c r="G8" s="421" t="s">
        <v>1624</v>
      </c>
    </row>
    <row r="9" spans="2:9" x14ac:dyDescent="0.2">
      <c r="B9" s="92">
        <v>201</v>
      </c>
      <c r="C9" s="92" t="s">
        <v>1590</v>
      </c>
      <c r="F9" s="421">
        <v>188</v>
      </c>
      <c r="G9" s="421" t="s">
        <v>1589</v>
      </c>
    </row>
    <row r="10" spans="2:9" x14ac:dyDescent="0.2">
      <c r="B10" s="92">
        <v>301</v>
      </c>
      <c r="C10" s="92" t="s">
        <v>1588</v>
      </c>
      <c r="F10" s="421">
        <v>199</v>
      </c>
      <c r="G10" s="421" t="s">
        <v>1586</v>
      </c>
    </row>
    <row r="11" spans="2:9" x14ac:dyDescent="0.2">
      <c r="B11" s="92">
        <v>302</v>
      </c>
      <c r="C11" s="92" t="s">
        <v>1587</v>
      </c>
      <c r="F11" s="421">
        <v>201</v>
      </c>
      <c r="G11" s="421" t="s">
        <v>1625</v>
      </c>
    </row>
    <row r="12" spans="2:9" x14ac:dyDescent="0.2">
      <c r="B12" s="92">
        <v>304</v>
      </c>
      <c r="C12" s="92" t="s">
        <v>1585</v>
      </c>
      <c r="F12" s="421">
        <v>206</v>
      </c>
      <c r="G12" s="421" t="s">
        <v>1584</v>
      </c>
    </row>
    <row r="13" spans="2:9" x14ac:dyDescent="0.2">
      <c r="B13" s="92">
        <v>305</v>
      </c>
      <c r="C13" s="92" t="s">
        <v>1583</v>
      </c>
      <c r="F13" s="421">
        <v>230</v>
      </c>
      <c r="G13" s="421" t="s">
        <v>1582</v>
      </c>
    </row>
    <row r="14" spans="2:9" x14ac:dyDescent="0.2">
      <c r="B14" s="92">
        <v>306</v>
      </c>
      <c r="C14" s="92" t="s">
        <v>1581</v>
      </c>
      <c r="F14" s="421">
        <v>245</v>
      </c>
      <c r="G14" s="421" t="s">
        <v>1580</v>
      </c>
    </row>
    <row r="15" spans="2:9" x14ac:dyDescent="0.2">
      <c r="B15" s="92">
        <v>307</v>
      </c>
      <c r="C15" s="92" t="s">
        <v>1579</v>
      </c>
      <c r="F15" s="421">
        <v>258</v>
      </c>
      <c r="G15" s="421" t="s">
        <v>1578</v>
      </c>
    </row>
    <row r="16" spans="2:9" x14ac:dyDescent="0.2">
      <c r="B16" s="92">
        <v>308</v>
      </c>
      <c r="C16" s="92" t="s">
        <v>1626</v>
      </c>
      <c r="F16" s="421">
        <v>259</v>
      </c>
      <c r="G16" s="421" t="s">
        <v>1577</v>
      </c>
    </row>
    <row r="17" spans="2:7" x14ac:dyDescent="0.2">
      <c r="B17" s="92">
        <v>309</v>
      </c>
      <c r="C17" s="92" t="s">
        <v>1576</v>
      </c>
      <c r="F17" s="421">
        <v>298</v>
      </c>
      <c r="G17" s="421" t="s">
        <v>2636</v>
      </c>
    </row>
    <row r="18" spans="2:7" x14ac:dyDescent="0.2">
      <c r="B18" s="92">
        <v>310</v>
      </c>
      <c r="C18" s="92" t="s">
        <v>1575</v>
      </c>
      <c r="F18" s="421">
        <v>308</v>
      </c>
      <c r="G18" s="421" t="s">
        <v>1627</v>
      </c>
    </row>
    <row r="19" spans="2:7" x14ac:dyDescent="0.2">
      <c r="B19" s="92">
        <v>311</v>
      </c>
      <c r="C19" s="92" t="s">
        <v>1573</v>
      </c>
      <c r="F19" s="421">
        <v>314</v>
      </c>
      <c r="G19" s="421" t="s">
        <v>1574</v>
      </c>
    </row>
    <row r="20" spans="2:7" x14ac:dyDescent="0.2">
      <c r="B20" s="92">
        <v>312</v>
      </c>
      <c r="C20" s="92" t="s">
        <v>1571</v>
      </c>
      <c r="F20" s="421">
        <v>335</v>
      </c>
      <c r="G20" s="421" t="s">
        <v>1572</v>
      </c>
    </row>
    <row r="21" spans="2:7" x14ac:dyDescent="0.2">
      <c r="B21" s="92">
        <v>313</v>
      </c>
      <c r="C21" s="92" t="s">
        <v>1569</v>
      </c>
      <c r="F21" s="421">
        <v>349</v>
      </c>
      <c r="G21" s="421" t="s">
        <v>1570</v>
      </c>
    </row>
    <row r="22" spans="2:7" x14ac:dyDescent="0.2">
      <c r="B22" s="92">
        <v>401</v>
      </c>
      <c r="C22" s="92" t="s">
        <v>1628</v>
      </c>
      <c r="F22" s="421">
        <v>371</v>
      </c>
      <c r="G22" s="421" t="s">
        <v>3231</v>
      </c>
    </row>
    <row r="23" spans="2:7" x14ac:dyDescent="0.2">
      <c r="B23" s="92">
        <v>402</v>
      </c>
      <c r="C23" s="92" t="s">
        <v>1629</v>
      </c>
      <c r="F23" s="421">
        <v>424</v>
      </c>
      <c r="G23" s="421" t="s">
        <v>2637</v>
      </c>
    </row>
    <row r="24" spans="2:7" x14ac:dyDescent="0.2">
      <c r="B24" s="92">
        <v>403</v>
      </c>
      <c r="C24" s="92" t="s">
        <v>1630</v>
      </c>
      <c r="F24" s="421">
        <v>436</v>
      </c>
      <c r="G24" s="421" t="s">
        <v>1563</v>
      </c>
    </row>
    <row r="25" spans="2:7" x14ac:dyDescent="0.2">
      <c r="B25" s="92">
        <v>404</v>
      </c>
      <c r="C25" s="92" t="s">
        <v>1631</v>
      </c>
      <c r="F25" s="421">
        <v>464</v>
      </c>
      <c r="G25" s="421" t="s">
        <v>1560</v>
      </c>
    </row>
    <row r="26" spans="2:7" x14ac:dyDescent="0.2">
      <c r="B26" s="92">
        <v>405</v>
      </c>
      <c r="C26" s="92" t="s">
        <v>1632</v>
      </c>
      <c r="F26" s="421">
        <v>542</v>
      </c>
      <c r="G26" s="421" t="s">
        <v>1558</v>
      </c>
    </row>
    <row r="27" spans="2:7" x14ac:dyDescent="0.2">
      <c r="B27" s="92">
        <v>501</v>
      </c>
      <c r="C27" s="92" t="s">
        <v>1568</v>
      </c>
      <c r="F27" s="421">
        <v>544</v>
      </c>
      <c r="G27" s="421" t="s">
        <v>1557</v>
      </c>
    </row>
    <row r="28" spans="2:7" x14ac:dyDescent="0.2">
      <c r="B28" s="92">
        <v>502</v>
      </c>
      <c r="C28" s="92" t="s">
        <v>1567</v>
      </c>
      <c r="F28" s="421">
        <v>583</v>
      </c>
      <c r="G28" s="421" t="s">
        <v>2638</v>
      </c>
    </row>
    <row r="29" spans="2:7" x14ac:dyDescent="0.2">
      <c r="B29" s="92">
        <v>503</v>
      </c>
      <c r="C29" s="92" t="s">
        <v>1566</v>
      </c>
      <c r="F29" s="421">
        <v>630</v>
      </c>
      <c r="G29" s="421" t="s">
        <v>3058</v>
      </c>
    </row>
    <row r="30" spans="2:7" x14ac:dyDescent="0.2">
      <c r="B30" s="92">
        <v>504</v>
      </c>
      <c r="C30" s="92" t="s">
        <v>1565</v>
      </c>
      <c r="F30" s="421">
        <v>650</v>
      </c>
      <c r="G30" s="421" t="s">
        <v>1633</v>
      </c>
    </row>
    <row r="31" spans="2:7" x14ac:dyDescent="0.2">
      <c r="B31" s="92">
        <v>505</v>
      </c>
      <c r="C31" s="92" t="s">
        <v>1564</v>
      </c>
      <c r="F31" s="421">
        <v>692</v>
      </c>
      <c r="G31" s="421" t="s">
        <v>3059</v>
      </c>
    </row>
    <row r="32" spans="2:7" x14ac:dyDescent="0.2">
      <c r="B32" s="92">
        <v>506</v>
      </c>
      <c r="C32" s="92" t="s">
        <v>1562</v>
      </c>
      <c r="F32" s="421">
        <v>759</v>
      </c>
      <c r="G32" s="421" t="s">
        <v>1554</v>
      </c>
    </row>
    <row r="33" spans="2:7" x14ac:dyDescent="0.2">
      <c r="B33" s="92">
        <v>507</v>
      </c>
      <c r="C33" s="92" t="s">
        <v>1561</v>
      </c>
      <c r="F33" s="421">
        <v>779</v>
      </c>
      <c r="G33" s="421" t="s">
        <v>1552</v>
      </c>
    </row>
    <row r="34" spans="2:7" x14ac:dyDescent="0.2">
      <c r="B34" s="92">
        <v>508</v>
      </c>
      <c r="C34" s="92" t="s">
        <v>1559</v>
      </c>
      <c r="F34" s="421">
        <v>780</v>
      </c>
      <c r="G34" s="421" t="s">
        <v>1550</v>
      </c>
    </row>
    <row r="35" spans="2:7" x14ac:dyDescent="0.2">
      <c r="B35" s="92">
        <v>605</v>
      </c>
      <c r="C35" s="92" t="s">
        <v>2631</v>
      </c>
      <c r="F35" s="421">
        <v>805</v>
      </c>
      <c r="G35" s="421" t="s">
        <v>2639</v>
      </c>
    </row>
    <row r="36" spans="2:7" x14ac:dyDescent="0.2">
      <c r="B36" s="92">
        <v>701</v>
      </c>
      <c r="C36" s="92" t="s">
        <v>1634</v>
      </c>
      <c r="F36" s="421">
        <v>815</v>
      </c>
      <c r="G36" s="421" t="s">
        <v>1547</v>
      </c>
    </row>
    <row r="37" spans="2:7" x14ac:dyDescent="0.2">
      <c r="B37" s="92">
        <v>702</v>
      </c>
      <c r="C37" s="92" t="s">
        <v>1635</v>
      </c>
      <c r="F37" s="421">
        <v>841</v>
      </c>
      <c r="G37" s="421" t="s">
        <v>1545</v>
      </c>
    </row>
    <row r="38" spans="2:7" x14ac:dyDescent="0.2">
      <c r="B38" s="92">
        <v>703</v>
      </c>
      <c r="C38" s="92" t="s">
        <v>1636</v>
      </c>
      <c r="F38" s="421">
        <v>926</v>
      </c>
      <c r="G38" s="421" t="s">
        <v>1544</v>
      </c>
    </row>
    <row r="39" spans="2:7" x14ac:dyDescent="0.2">
      <c r="B39" s="92">
        <v>705</v>
      </c>
      <c r="C39" s="92" t="s">
        <v>1637</v>
      </c>
      <c r="F39" s="421">
        <v>927</v>
      </c>
      <c r="G39" s="421" t="s">
        <v>1542</v>
      </c>
    </row>
    <row r="40" spans="2:7" x14ac:dyDescent="0.2">
      <c r="B40" s="92">
        <v>706</v>
      </c>
      <c r="C40" s="92" t="s">
        <v>1638</v>
      </c>
      <c r="F40" s="421">
        <v>990</v>
      </c>
      <c r="G40" s="421" t="s">
        <v>1537</v>
      </c>
    </row>
    <row r="41" spans="2:7" x14ac:dyDescent="0.2">
      <c r="B41" s="92">
        <v>801</v>
      </c>
      <c r="C41" s="92" t="s">
        <v>1556</v>
      </c>
      <c r="F41" s="421">
        <v>992</v>
      </c>
      <c r="G41" s="421" t="s">
        <v>1535</v>
      </c>
    </row>
    <row r="42" spans="2:7" x14ac:dyDescent="0.2">
      <c r="B42" s="92">
        <v>802</v>
      </c>
      <c r="C42" s="92" t="s">
        <v>1555</v>
      </c>
      <c r="F42" s="421">
        <v>1042</v>
      </c>
      <c r="G42" s="421" t="s">
        <v>1533</v>
      </c>
    </row>
    <row r="43" spans="2:7" x14ac:dyDescent="0.2">
      <c r="B43" s="92">
        <v>803</v>
      </c>
      <c r="C43" s="92" t="s">
        <v>1553</v>
      </c>
      <c r="F43" s="421">
        <v>1045</v>
      </c>
      <c r="G43" s="421" t="s">
        <v>1532</v>
      </c>
    </row>
    <row r="44" spans="2:7" x14ac:dyDescent="0.2">
      <c r="B44" s="92">
        <v>804</v>
      </c>
      <c r="C44" s="92" t="s">
        <v>1551</v>
      </c>
      <c r="F44" s="421">
        <v>1090</v>
      </c>
      <c r="G44" s="421" t="s">
        <v>1531</v>
      </c>
    </row>
    <row r="45" spans="2:7" x14ac:dyDescent="0.2">
      <c r="B45" s="92">
        <v>805</v>
      </c>
      <c r="C45" s="92" t="s">
        <v>1549</v>
      </c>
      <c r="F45" s="421">
        <v>1161</v>
      </c>
      <c r="G45" s="421" t="s">
        <v>1530</v>
      </c>
    </row>
    <row r="46" spans="2:7" x14ac:dyDescent="0.2">
      <c r="B46" s="92">
        <v>806</v>
      </c>
      <c r="C46" s="92" t="s">
        <v>1548</v>
      </c>
      <c r="F46" s="421">
        <v>1188</v>
      </c>
      <c r="G46" s="421" t="s">
        <v>2640</v>
      </c>
    </row>
    <row r="47" spans="2:7" x14ac:dyDescent="0.2">
      <c r="B47" s="92">
        <v>807</v>
      </c>
      <c r="C47" s="92" t="s">
        <v>1546</v>
      </c>
      <c r="F47" s="421">
        <v>1211</v>
      </c>
      <c r="G47" s="421" t="s">
        <v>1526</v>
      </c>
    </row>
    <row r="48" spans="2:7" x14ac:dyDescent="0.2">
      <c r="B48" s="92">
        <v>808</v>
      </c>
      <c r="C48" s="92" t="s">
        <v>1639</v>
      </c>
      <c r="F48" s="421">
        <v>1218</v>
      </c>
      <c r="G48" s="421" t="s">
        <v>1524</v>
      </c>
    </row>
    <row r="49" spans="2:7" x14ac:dyDescent="0.2">
      <c r="B49" s="92">
        <v>809</v>
      </c>
      <c r="C49" s="92" t="s">
        <v>1543</v>
      </c>
      <c r="F49" s="421">
        <v>1226</v>
      </c>
      <c r="G49" s="421" t="s">
        <v>3060</v>
      </c>
    </row>
    <row r="50" spans="2:7" x14ac:dyDescent="0.2">
      <c r="B50" s="92">
        <v>901</v>
      </c>
      <c r="C50" s="92" t="s">
        <v>1541</v>
      </c>
      <c r="F50" s="421">
        <v>1234</v>
      </c>
      <c r="G50" s="421" t="s">
        <v>1521</v>
      </c>
    </row>
    <row r="51" spans="2:7" x14ac:dyDescent="0.2">
      <c r="B51" s="92">
        <v>902</v>
      </c>
      <c r="C51" s="92" t="s">
        <v>1540</v>
      </c>
      <c r="F51" s="421">
        <v>1280</v>
      </c>
      <c r="G51" s="421" t="s">
        <v>1518</v>
      </c>
    </row>
    <row r="52" spans="2:7" x14ac:dyDescent="0.2">
      <c r="B52" s="92">
        <v>903</v>
      </c>
      <c r="C52" s="92" t="s">
        <v>1539</v>
      </c>
      <c r="F52" s="421">
        <v>1300</v>
      </c>
      <c r="G52" s="421" t="s">
        <v>1516</v>
      </c>
    </row>
    <row r="53" spans="2:7" x14ac:dyDescent="0.2">
      <c r="B53" s="92">
        <v>904</v>
      </c>
      <c r="C53" s="92" t="s">
        <v>1538</v>
      </c>
      <c r="F53" s="421">
        <v>1301</v>
      </c>
      <c r="G53" s="421" t="s">
        <v>2641</v>
      </c>
    </row>
    <row r="54" spans="2:7" x14ac:dyDescent="0.2">
      <c r="B54" s="92">
        <v>905</v>
      </c>
      <c r="C54" s="92" t="s">
        <v>1536</v>
      </c>
      <c r="F54" s="421">
        <v>1310</v>
      </c>
      <c r="G54" s="421" t="s">
        <v>1514</v>
      </c>
    </row>
    <row r="55" spans="2:7" x14ac:dyDescent="0.2">
      <c r="B55" s="92">
        <v>906</v>
      </c>
      <c r="C55" s="92" t="s">
        <v>1534</v>
      </c>
      <c r="F55" s="421">
        <v>1330</v>
      </c>
      <c r="G55" s="421" t="s">
        <v>1512</v>
      </c>
    </row>
    <row r="56" spans="2:7" x14ac:dyDescent="0.2">
      <c r="B56" s="92">
        <v>1001</v>
      </c>
      <c r="C56" s="92" t="s">
        <v>2632</v>
      </c>
      <c r="F56" s="421">
        <v>1343</v>
      </c>
      <c r="G56" s="421" t="s">
        <v>2642</v>
      </c>
    </row>
    <row r="57" spans="2:7" x14ac:dyDescent="0.2">
      <c r="B57" s="92">
        <v>1002</v>
      </c>
      <c r="C57" s="92" t="s">
        <v>2633</v>
      </c>
      <c r="F57" s="421">
        <v>1348</v>
      </c>
      <c r="G57" s="421" t="s">
        <v>1509</v>
      </c>
    </row>
    <row r="58" spans="2:7" x14ac:dyDescent="0.2">
      <c r="B58" s="92">
        <v>1003</v>
      </c>
      <c r="C58" s="92" t="s">
        <v>2634</v>
      </c>
      <c r="F58" s="421">
        <v>1352</v>
      </c>
      <c r="G58" s="421" t="s">
        <v>1507</v>
      </c>
    </row>
    <row r="59" spans="2:7" x14ac:dyDescent="0.2">
      <c r="B59" s="92">
        <v>1101</v>
      </c>
      <c r="C59" s="92" t="s">
        <v>1529</v>
      </c>
      <c r="F59" s="421">
        <v>1362</v>
      </c>
      <c r="G59" s="421" t="s">
        <v>1505</v>
      </c>
    </row>
    <row r="60" spans="2:7" x14ac:dyDescent="0.2">
      <c r="B60" s="92">
        <v>1102</v>
      </c>
      <c r="C60" s="92" t="s">
        <v>1528</v>
      </c>
      <c r="F60" s="421">
        <v>1373</v>
      </c>
      <c r="G60" s="421" t="s">
        <v>2643</v>
      </c>
    </row>
    <row r="61" spans="2:7" x14ac:dyDescent="0.2">
      <c r="B61" s="92">
        <v>1103</v>
      </c>
      <c r="C61" s="92" t="s">
        <v>1527</v>
      </c>
      <c r="F61" s="421">
        <v>1391</v>
      </c>
      <c r="G61" s="421" t="s">
        <v>1502</v>
      </c>
    </row>
    <row r="62" spans="2:7" x14ac:dyDescent="0.2">
      <c r="B62" s="92">
        <v>1104</v>
      </c>
      <c r="C62" s="92" t="s">
        <v>1525</v>
      </c>
      <c r="F62" s="421">
        <v>1392</v>
      </c>
      <c r="G62" s="421" t="s">
        <v>1501</v>
      </c>
    </row>
    <row r="63" spans="2:7" x14ac:dyDescent="0.2">
      <c r="B63" s="92">
        <v>1105</v>
      </c>
      <c r="C63" s="92" t="s">
        <v>1523</v>
      </c>
      <c r="F63" s="421">
        <v>1417</v>
      </c>
      <c r="G63" s="421" t="s">
        <v>2644</v>
      </c>
    </row>
    <row r="64" spans="2:7" x14ac:dyDescent="0.2">
      <c r="B64" s="92">
        <v>1201</v>
      </c>
      <c r="C64" s="92" t="s">
        <v>1522</v>
      </c>
      <c r="F64" s="421">
        <v>1439</v>
      </c>
      <c r="G64" s="421" t="s">
        <v>1500</v>
      </c>
    </row>
    <row r="65" spans="2:7" x14ac:dyDescent="0.2">
      <c r="B65" s="92">
        <v>1202</v>
      </c>
      <c r="C65" s="92" t="s">
        <v>1520</v>
      </c>
      <c r="F65" s="421">
        <v>1440</v>
      </c>
      <c r="G65" s="421" t="s">
        <v>2645</v>
      </c>
    </row>
    <row r="66" spans="2:7" x14ac:dyDescent="0.2">
      <c r="B66" s="92">
        <v>1203</v>
      </c>
      <c r="C66" s="92" t="s">
        <v>1519</v>
      </c>
      <c r="F66" s="421">
        <v>1531</v>
      </c>
      <c r="G66" s="421" t="s">
        <v>1497</v>
      </c>
    </row>
    <row r="67" spans="2:7" x14ac:dyDescent="0.2">
      <c r="B67" s="92">
        <v>1204</v>
      </c>
      <c r="C67" s="92" t="s">
        <v>1517</v>
      </c>
      <c r="F67" s="421">
        <v>1657</v>
      </c>
      <c r="G67" s="421" t="s">
        <v>1496</v>
      </c>
    </row>
    <row r="68" spans="2:7" x14ac:dyDescent="0.2">
      <c r="B68" s="92">
        <v>1205</v>
      </c>
      <c r="C68" s="92" t="s">
        <v>1515</v>
      </c>
      <c r="F68" s="421">
        <v>1699</v>
      </c>
      <c r="G68" s="421" t="s">
        <v>1495</v>
      </c>
    </row>
    <row r="69" spans="2:7" x14ac:dyDescent="0.2">
      <c r="B69" s="92">
        <v>1301</v>
      </c>
      <c r="C69" s="92" t="s">
        <v>1513</v>
      </c>
      <c r="F69" s="421">
        <v>1704</v>
      </c>
      <c r="G69" s="421" t="s">
        <v>2646</v>
      </c>
    </row>
    <row r="70" spans="2:7" x14ac:dyDescent="0.2">
      <c r="B70" s="92">
        <v>1302</v>
      </c>
      <c r="C70" s="92" t="s">
        <v>1511</v>
      </c>
      <c r="F70" s="421">
        <v>1761</v>
      </c>
      <c r="G70" s="421" t="s">
        <v>1493</v>
      </c>
    </row>
    <row r="71" spans="2:7" x14ac:dyDescent="0.2">
      <c r="B71" s="92">
        <v>1303</v>
      </c>
      <c r="C71" s="92" t="s">
        <v>1510</v>
      </c>
      <c r="F71" s="421">
        <v>1791</v>
      </c>
      <c r="G71" s="421" t="s">
        <v>1491</v>
      </c>
    </row>
    <row r="72" spans="2:7" x14ac:dyDescent="0.2">
      <c r="B72" s="92">
        <v>1304</v>
      </c>
      <c r="C72" s="92" t="s">
        <v>1508</v>
      </c>
      <c r="F72" s="421">
        <v>1812</v>
      </c>
      <c r="G72" s="421" t="s">
        <v>1641</v>
      </c>
    </row>
    <row r="73" spans="2:7" x14ac:dyDescent="0.2">
      <c r="B73" s="92">
        <v>1305</v>
      </c>
      <c r="C73" s="92" t="s">
        <v>1506</v>
      </c>
      <c r="F73" s="421">
        <v>1874</v>
      </c>
      <c r="G73" s="421" t="s">
        <v>1643</v>
      </c>
    </row>
    <row r="74" spans="2:7" x14ac:dyDescent="0.2">
      <c r="B74" s="92">
        <v>1306</v>
      </c>
      <c r="C74" s="92" t="s">
        <v>1504</v>
      </c>
      <c r="F74" s="421">
        <v>1879</v>
      </c>
      <c r="G74" s="421" t="s">
        <v>1489</v>
      </c>
    </row>
    <row r="75" spans="2:7" x14ac:dyDescent="0.2">
      <c r="B75" s="92">
        <v>1401</v>
      </c>
      <c r="C75" s="92" t="s">
        <v>1503</v>
      </c>
      <c r="F75" s="421">
        <v>1905</v>
      </c>
      <c r="G75" s="421" t="s">
        <v>1487</v>
      </c>
    </row>
    <row r="76" spans="2:7" x14ac:dyDescent="0.2">
      <c r="B76" s="92">
        <v>1502</v>
      </c>
      <c r="C76" s="92" t="s">
        <v>1640</v>
      </c>
      <c r="F76" s="421">
        <v>1914</v>
      </c>
      <c r="G76" s="421" t="s">
        <v>3232</v>
      </c>
    </row>
    <row r="77" spans="2:7" x14ac:dyDescent="0.2">
      <c r="B77" s="92">
        <v>1503</v>
      </c>
      <c r="C77" s="92" t="s">
        <v>1642</v>
      </c>
      <c r="F77" s="421">
        <v>1927</v>
      </c>
      <c r="G77" s="421" t="s">
        <v>1485</v>
      </c>
    </row>
    <row r="78" spans="2:7" x14ac:dyDescent="0.2">
      <c r="B78" s="92">
        <v>1504</v>
      </c>
      <c r="C78" s="92" t="s">
        <v>1644</v>
      </c>
      <c r="F78" s="421">
        <v>1953</v>
      </c>
      <c r="G78" s="421" t="s">
        <v>1483</v>
      </c>
    </row>
    <row r="79" spans="2:7" x14ac:dyDescent="0.2">
      <c r="B79" s="92">
        <v>1505</v>
      </c>
      <c r="C79" s="92" t="s">
        <v>1645</v>
      </c>
      <c r="F79" s="421">
        <v>1976</v>
      </c>
      <c r="G79" s="421" t="s">
        <v>1480</v>
      </c>
    </row>
    <row r="80" spans="2:7" x14ac:dyDescent="0.2">
      <c r="B80" s="92">
        <v>1506</v>
      </c>
      <c r="C80" s="92" t="s">
        <v>2884</v>
      </c>
      <c r="F80" s="421">
        <v>1988</v>
      </c>
      <c r="G80" s="421" t="s">
        <v>1478</v>
      </c>
    </row>
    <row r="81" spans="2:7" x14ac:dyDescent="0.2">
      <c r="B81" s="92">
        <v>1507</v>
      </c>
      <c r="C81" s="92" t="s">
        <v>2885</v>
      </c>
      <c r="F81" s="421">
        <v>2136</v>
      </c>
      <c r="G81" s="421" t="s">
        <v>1477</v>
      </c>
    </row>
    <row r="82" spans="2:7" x14ac:dyDescent="0.2">
      <c r="B82" s="92">
        <v>1601</v>
      </c>
      <c r="C82" s="92" t="s">
        <v>1499</v>
      </c>
      <c r="F82" s="421">
        <v>2149</v>
      </c>
      <c r="G82" s="421" t="s">
        <v>1476</v>
      </c>
    </row>
    <row r="83" spans="2:7" x14ac:dyDescent="0.2">
      <c r="B83" s="92">
        <v>1701</v>
      </c>
      <c r="C83" s="92" t="s">
        <v>1498</v>
      </c>
      <c r="F83" s="421">
        <v>2189</v>
      </c>
      <c r="G83" s="421" t="s">
        <v>1475</v>
      </c>
    </row>
    <row r="84" spans="2:7" x14ac:dyDescent="0.2">
      <c r="B84" s="92">
        <v>1806</v>
      </c>
      <c r="C84" s="92" t="s">
        <v>1646</v>
      </c>
      <c r="F84" s="421">
        <v>2323</v>
      </c>
      <c r="G84" s="421" t="s">
        <v>2647</v>
      </c>
    </row>
    <row r="85" spans="2:7" x14ac:dyDescent="0.2">
      <c r="B85" s="92">
        <v>1901</v>
      </c>
      <c r="C85" s="92" t="s">
        <v>1494</v>
      </c>
      <c r="F85" s="421">
        <v>2325</v>
      </c>
      <c r="G85" s="421" t="s">
        <v>1474</v>
      </c>
    </row>
    <row r="86" spans="2:7" x14ac:dyDescent="0.2">
      <c r="B86" s="92">
        <v>1902</v>
      </c>
      <c r="C86" s="92" t="s">
        <v>1492</v>
      </c>
      <c r="F86" s="421">
        <v>2326</v>
      </c>
      <c r="G86" s="421" t="s">
        <v>2648</v>
      </c>
    </row>
    <row r="87" spans="2:7" x14ac:dyDescent="0.2">
      <c r="B87" s="92">
        <v>1903</v>
      </c>
      <c r="C87" s="92" t="s">
        <v>1490</v>
      </c>
      <c r="F87" s="421">
        <v>2332</v>
      </c>
      <c r="G87" s="421" t="s">
        <v>2649</v>
      </c>
    </row>
    <row r="88" spans="2:7" x14ac:dyDescent="0.2">
      <c r="B88" s="92">
        <v>1904</v>
      </c>
      <c r="C88" s="92" t="s">
        <v>1488</v>
      </c>
      <c r="F88" s="421">
        <v>2333</v>
      </c>
      <c r="G88" s="421" t="s">
        <v>3233</v>
      </c>
    </row>
    <row r="89" spans="2:7" x14ac:dyDescent="0.2">
      <c r="B89" s="92">
        <v>1905</v>
      </c>
      <c r="C89" s="92" t="s">
        <v>1486</v>
      </c>
      <c r="F89" s="421">
        <v>2572</v>
      </c>
      <c r="G89" s="421" t="s">
        <v>1473</v>
      </c>
    </row>
    <row r="90" spans="2:7" x14ac:dyDescent="0.2">
      <c r="B90" s="92">
        <v>1906</v>
      </c>
      <c r="C90" s="92" t="s">
        <v>1484</v>
      </c>
      <c r="F90" s="421">
        <v>2872</v>
      </c>
      <c r="G90" s="421" t="s">
        <v>1472</v>
      </c>
    </row>
    <row r="91" spans="2:7" x14ac:dyDescent="0.2">
      <c r="B91" s="92">
        <v>1907</v>
      </c>
      <c r="C91" s="92" t="s">
        <v>1482</v>
      </c>
      <c r="F91" s="421">
        <v>2886</v>
      </c>
      <c r="G91" s="421" t="s">
        <v>1471</v>
      </c>
    </row>
    <row r="92" spans="2:7" x14ac:dyDescent="0.2">
      <c r="B92" s="92">
        <v>1908</v>
      </c>
      <c r="C92" s="92" t="s">
        <v>1481</v>
      </c>
      <c r="F92" s="421">
        <v>2937</v>
      </c>
      <c r="G92" s="421" t="s">
        <v>1470</v>
      </c>
    </row>
    <row r="93" spans="2:7" x14ac:dyDescent="0.2">
      <c r="B93" s="92">
        <v>1909</v>
      </c>
      <c r="C93" s="92" t="s">
        <v>1479</v>
      </c>
      <c r="F93" s="421">
        <v>2946</v>
      </c>
      <c r="G93" s="421" t="s">
        <v>1469</v>
      </c>
    </row>
    <row r="94" spans="2:7" x14ac:dyDescent="0.2">
      <c r="B94" s="92">
        <v>2001</v>
      </c>
      <c r="C94" s="92" t="s">
        <v>1647</v>
      </c>
      <c r="F94" s="421">
        <v>2958</v>
      </c>
      <c r="G94" s="421" t="s">
        <v>1468</v>
      </c>
    </row>
    <row r="95" spans="2:7" x14ac:dyDescent="0.2">
      <c r="F95" s="421">
        <v>2967</v>
      </c>
      <c r="G95" s="421" t="s">
        <v>1467</v>
      </c>
    </row>
    <row r="96" spans="2:7" x14ac:dyDescent="0.2">
      <c r="F96" s="421">
        <v>2982</v>
      </c>
      <c r="G96" s="421" t="s">
        <v>2650</v>
      </c>
    </row>
    <row r="97" spans="6:7" x14ac:dyDescent="0.2">
      <c r="F97" s="421">
        <v>2997</v>
      </c>
      <c r="G97" s="421" t="s">
        <v>1648</v>
      </c>
    </row>
    <row r="98" spans="6:7" x14ac:dyDescent="0.2">
      <c r="F98" s="421">
        <v>3045</v>
      </c>
      <c r="G98" s="421" t="s">
        <v>1466</v>
      </c>
    </row>
    <row r="99" spans="6:7" x14ac:dyDescent="0.2">
      <c r="F99" s="421">
        <v>3061</v>
      </c>
      <c r="G99" s="421" t="s">
        <v>1465</v>
      </c>
    </row>
    <row r="100" spans="6:7" x14ac:dyDescent="0.2">
      <c r="F100" s="421">
        <v>3125</v>
      </c>
      <c r="G100" s="421" t="s">
        <v>1464</v>
      </c>
    </row>
    <row r="101" spans="6:7" x14ac:dyDescent="0.2">
      <c r="F101" s="421">
        <v>3299</v>
      </c>
      <c r="G101" s="421" t="s">
        <v>1463</v>
      </c>
    </row>
    <row r="102" spans="6:7" x14ac:dyDescent="0.2">
      <c r="F102" s="421">
        <v>3548</v>
      </c>
      <c r="G102" s="421" t="s">
        <v>2651</v>
      </c>
    </row>
    <row r="103" spans="6:7" x14ac:dyDescent="0.2">
      <c r="F103" s="421">
        <v>3577</v>
      </c>
      <c r="G103" s="421" t="s">
        <v>1462</v>
      </c>
    </row>
    <row r="104" spans="6:7" x14ac:dyDescent="0.2">
      <c r="F104" s="421">
        <v>3659</v>
      </c>
      <c r="G104" s="421" t="s">
        <v>1461</v>
      </c>
    </row>
    <row r="105" spans="6:7" x14ac:dyDescent="0.2">
      <c r="F105" s="421">
        <v>3714</v>
      </c>
      <c r="G105" s="421" t="s">
        <v>1649</v>
      </c>
    </row>
    <row r="106" spans="6:7" x14ac:dyDescent="0.2">
      <c r="F106" s="421">
        <v>3720</v>
      </c>
      <c r="G106" s="421" t="s">
        <v>1460</v>
      </c>
    </row>
    <row r="107" spans="6:7" x14ac:dyDescent="0.2">
      <c r="F107" s="421">
        <v>3733</v>
      </c>
      <c r="G107" s="421" t="s">
        <v>1459</v>
      </c>
    </row>
    <row r="108" spans="6:7" x14ac:dyDescent="0.2">
      <c r="F108" s="421">
        <v>3913</v>
      </c>
      <c r="G108" s="421" t="s">
        <v>1458</v>
      </c>
    </row>
    <row r="109" spans="6:7" x14ac:dyDescent="0.2">
      <c r="F109" s="421">
        <v>4080</v>
      </c>
      <c r="G109" s="421" t="s">
        <v>1457</v>
      </c>
    </row>
    <row r="110" spans="6:7" x14ac:dyDescent="0.2">
      <c r="F110" s="421">
        <v>4082</v>
      </c>
      <c r="G110" s="421" t="s">
        <v>1456</v>
      </c>
    </row>
    <row r="111" spans="6:7" x14ac:dyDescent="0.2">
      <c r="F111" s="421">
        <v>4717</v>
      </c>
      <c r="G111" s="421" t="s">
        <v>1650</v>
      </c>
    </row>
    <row r="112" spans="6:7" x14ac:dyDescent="0.2">
      <c r="F112" s="421">
        <v>4917</v>
      </c>
      <c r="G112" s="421" t="s">
        <v>1455</v>
      </c>
    </row>
    <row r="113" spans="6:7" x14ac:dyDescent="0.2">
      <c r="F113" s="421">
        <v>5093</v>
      </c>
      <c r="G113" s="421" t="s">
        <v>1651</v>
      </c>
    </row>
    <row r="114" spans="6:7" x14ac:dyDescent="0.2">
      <c r="F114" s="421">
        <v>5096</v>
      </c>
      <c r="G114" s="421" t="s">
        <v>1454</v>
      </c>
    </row>
    <row r="115" spans="6:7" x14ac:dyDescent="0.2">
      <c r="F115" s="421">
        <v>5098</v>
      </c>
      <c r="G115" s="421" t="s">
        <v>1453</v>
      </c>
    </row>
    <row r="116" spans="6:7" x14ac:dyDescent="0.2">
      <c r="F116" s="421">
        <v>5156</v>
      </c>
      <c r="G116" s="421" t="s">
        <v>2652</v>
      </c>
    </row>
    <row r="117" spans="6:7" x14ac:dyDescent="0.2">
      <c r="F117" s="421">
        <v>5452</v>
      </c>
      <c r="G117" s="421" t="s">
        <v>1652</v>
      </c>
    </row>
    <row r="118" spans="6:7" x14ac:dyDescent="0.2">
      <c r="F118" s="421">
        <v>5461</v>
      </c>
      <c r="G118" s="421" t="s">
        <v>1452</v>
      </c>
    </row>
    <row r="119" spans="6:7" x14ac:dyDescent="0.2">
      <c r="F119" s="421">
        <v>5462</v>
      </c>
      <c r="G119" s="421" t="s">
        <v>1451</v>
      </c>
    </row>
    <row r="120" spans="6:7" x14ac:dyDescent="0.2">
      <c r="F120" s="421">
        <v>5516</v>
      </c>
      <c r="G120" s="421" t="s">
        <v>1450</v>
      </c>
    </row>
    <row r="121" spans="6:7" x14ac:dyDescent="0.2">
      <c r="F121" s="421">
        <v>5657</v>
      </c>
      <c r="G121" s="421" t="s">
        <v>1653</v>
      </c>
    </row>
    <row r="122" spans="6:7" x14ac:dyDescent="0.2">
      <c r="F122" s="421">
        <v>6188</v>
      </c>
      <c r="G122" s="421" t="s">
        <v>3234</v>
      </c>
    </row>
    <row r="123" spans="6:7" x14ac:dyDescent="0.2">
      <c r="F123" s="421">
        <v>6618</v>
      </c>
      <c r="G123" s="421" t="s">
        <v>1654</v>
      </c>
    </row>
    <row r="124" spans="6:7" x14ac:dyDescent="0.2">
      <c r="F124" s="421">
        <v>7331</v>
      </c>
      <c r="G124" s="421" t="s">
        <v>1449</v>
      </c>
    </row>
    <row r="125" spans="6:7" x14ac:dyDescent="0.2">
      <c r="F125" s="421">
        <v>7345</v>
      </c>
      <c r="G125" s="421" t="s">
        <v>1448</v>
      </c>
    </row>
    <row r="126" spans="6:7" x14ac:dyDescent="0.2">
      <c r="F126" s="421">
        <v>7373</v>
      </c>
      <c r="G126" s="421" t="s">
        <v>2653</v>
      </c>
    </row>
    <row r="127" spans="6:7" x14ac:dyDescent="0.2">
      <c r="F127" s="421">
        <v>7379</v>
      </c>
      <c r="G127" s="421" t="s">
        <v>1655</v>
      </c>
    </row>
    <row r="128" spans="6:7" x14ac:dyDescent="0.2">
      <c r="F128" s="421">
        <v>7381</v>
      </c>
      <c r="G128" s="421" t="s">
        <v>1447</v>
      </c>
    </row>
    <row r="129" spans="6:7" x14ac:dyDescent="0.2">
      <c r="F129" s="421">
        <v>7396</v>
      </c>
      <c r="G129" s="421" t="s">
        <v>1446</v>
      </c>
    </row>
    <row r="130" spans="6:7" x14ac:dyDescent="0.2">
      <c r="F130" s="421">
        <v>7462</v>
      </c>
      <c r="G130" s="421" t="s">
        <v>1445</v>
      </c>
    </row>
    <row r="131" spans="6:7" x14ac:dyDescent="0.2">
      <c r="F131" s="421">
        <v>7473</v>
      </c>
      <c r="G131" s="421" t="s">
        <v>1444</v>
      </c>
    </row>
    <row r="132" spans="6:7" x14ac:dyDescent="0.2">
      <c r="F132" s="421">
        <v>7534</v>
      </c>
      <c r="G132" s="421" t="s">
        <v>1443</v>
      </c>
    </row>
    <row r="133" spans="6:7" x14ac:dyDescent="0.2">
      <c r="F133" s="421">
        <v>7608</v>
      </c>
      <c r="G133" s="421" t="s">
        <v>1442</v>
      </c>
    </row>
    <row r="134" spans="6:7" x14ac:dyDescent="0.2">
      <c r="F134" s="421">
        <v>7700</v>
      </c>
      <c r="G134" s="421" t="s">
        <v>1441</v>
      </c>
    </row>
    <row r="135" spans="6:7" x14ac:dyDescent="0.2">
      <c r="F135" s="421">
        <v>7702</v>
      </c>
      <c r="G135" s="421" t="s">
        <v>1440</v>
      </c>
    </row>
    <row r="136" spans="6:7" x14ac:dyDescent="0.2">
      <c r="F136" s="421">
        <v>7725</v>
      </c>
      <c r="G136" s="421" t="s">
        <v>1439</v>
      </c>
    </row>
    <row r="137" spans="6:7" x14ac:dyDescent="0.2">
      <c r="F137" s="421">
        <v>7778</v>
      </c>
      <c r="G137" s="421" t="s">
        <v>1438</v>
      </c>
    </row>
    <row r="138" spans="6:7" x14ac:dyDescent="0.2">
      <c r="F138" s="421">
        <v>7942</v>
      </c>
      <c r="G138" s="421" t="s">
        <v>1437</v>
      </c>
    </row>
    <row r="139" spans="6:7" x14ac:dyDescent="0.2">
      <c r="F139" s="421">
        <v>8051</v>
      </c>
      <c r="G139" s="421" t="s">
        <v>2654</v>
      </c>
    </row>
    <row r="140" spans="6:7" x14ac:dyDescent="0.2">
      <c r="F140" s="421">
        <v>8054</v>
      </c>
      <c r="G140" s="421" t="s">
        <v>1436</v>
      </c>
    </row>
    <row r="141" spans="6:7" x14ac:dyDescent="0.2">
      <c r="F141" s="421">
        <v>8092</v>
      </c>
      <c r="G141" s="421" t="s">
        <v>1435</v>
      </c>
    </row>
    <row r="142" spans="6:7" x14ac:dyDescent="0.2">
      <c r="F142" s="421">
        <v>8241</v>
      </c>
      <c r="G142" s="421" t="s">
        <v>1434</v>
      </c>
    </row>
    <row r="143" spans="6:7" x14ac:dyDescent="0.2">
      <c r="F143" s="421">
        <v>8246</v>
      </c>
      <c r="G143" s="421" t="s">
        <v>1433</v>
      </c>
    </row>
    <row r="144" spans="6:7" x14ac:dyDescent="0.2">
      <c r="F144" s="421">
        <v>8294</v>
      </c>
      <c r="G144" s="421" t="s">
        <v>1432</v>
      </c>
    </row>
    <row r="145" spans="6:7" x14ac:dyDescent="0.2">
      <c r="F145" s="421">
        <v>8302</v>
      </c>
      <c r="G145" s="421" t="s">
        <v>1431</v>
      </c>
    </row>
    <row r="146" spans="6:7" x14ac:dyDescent="0.2">
      <c r="F146" s="421">
        <v>9039</v>
      </c>
      <c r="G146" s="421" t="s">
        <v>1430</v>
      </c>
    </row>
    <row r="147" spans="6:7" x14ac:dyDescent="0.2">
      <c r="F147" s="421">
        <v>9229</v>
      </c>
      <c r="G147" s="421" t="s">
        <v>1429</v>
      </c>
    </row>
    <row r="148" spans="6:7" x14ac:dyDescent="0.2">
      <c r="F148" s="421">
        <v>9253</v>
      </c>
      <c r="G148" s="421" t="s">
        <v>1428</v>
      </c>
    </row>
    <row r="149" spans="6:7" x14ac:dyDescent="0.2">
      <c r="F149" s="421">
        <v>9369</v>
      </c>
      <c r="G149" s="421" t="s">
        <v>1427</v>
      </c>
    </row>
    <row r="150" spans="6:7" x14ac:dyDescent="0.2">
      <c r="F150" s="421">
        <v>9768</v>
      </c>
      <c r="G150" s="421" t="s">
        <v>1426</v>
      </c>
    </row>
    <row r="151" spans="6:7" x14ac:dyDescent="0.2">
      <c r="F151" s="421">
        <v>9844</v>
      </c>
      <c r="G151" s="421" t="s">
        <v>2655</v>
      </c>
    </row>
    <row r="152" spans="6:7" x14ac:dyDescent="0.2">
      <c r="F152" s="421">
        <v>9907</v>
      </c>
      <c r="G152" s="421" t="s">
        <v>1425</v>
      </c>
    </row>
    <row r="153" spans="6:7" x14ac:dyDescent="0.2">
      <c r="F153" s="421">
        <v>9909</v>
      </c>
      <c r="G153" s="421" t="s">
        <v>1424</v>
      </c>
    </row>
    <row r="154" spans="6:7" x14ac:dyDescent="0.2">
      <c r="F154" s="421">
        <v>10042</v>
      </c>
      <c r="G154" s="421" t="s">
        <v>1423</v>
      </c>
    </row>
    <row r="155" spans="6:7" x14ac:dyDescent="0.2">
      <c r="F155" s="421">
        <v>10202</v>
      </c>
      <c r="G155" s="421" t="s">
        <v>1656</v>
      </c>
    </row>
    <row r="156" spans="6:7" x14ac:dyDescent="0.2">
      <c r="F156" s="421">
        <v>10468</v>
      </c>
      <c r="G156" s="421" t="s">
        <v>1657</v>
      </c>
    </row>
    <row r="157" spans="6:7" x14ac:dyDescent="0.2">
      <c r="F157" s="421">
        <v>10612</v>
      </c>
      <c r="G157" s="421" t="s">
        <v>1422</v>
      </c>
    </row>
    <row r="158" spans="6:7" x14ac:dyDescent="0.2">
      <c r="F158" s="421">
        <v>10626</v>
      </c>
      <c r="G158" s="421" t="s">
        <v>2656</v>
      </c>
    </row>
    <row r="159" spans="6:7" x14ac:dyDescent="0.2">
      <c r="F159" s="421">
        <v>11605</v>
      </c>
      <c r="G159" s="421" t="s">
        <v>1421</v>
      </c>
    </row>
    <row r="160" spans="6:7" x14ac:dyDescent="0.2">
      <c r="F160" s="421">
        <v>12341</v>
      </c>
      <c r="G160" s="421" t="s">
        <v>1420</v>
      </c>
    </row>
    <row r="161" spans="6:7" x14ac:dyDescent="0.2">
      <c r="F161" s="421">
        <v>12577</v>
      </c>
      <c r="G161" s="421" t="s">
        <v>1419</v>
      </c>
    </row>
    <row r="162" spans="6:7" x14ac:dyDescent="0.2">
      <c r="F162" s="421">
        <v>12617</v>
      </c>
      <c r="G162" s="421" t="s">
        <v>1418</v>
      </c>
    </row>
    <row r="163" spans="6:7" x14ac:dyDescent="0.2">
      <c r="F163" s="421">
        <v>12619</v>
      </c>
      <c r="G163" s="421" t="s">
        <v>1417</v>
      </c>
    </row>
    <row r="164" spans="6:7" x14ac:dyDescent="0.2">
      <c r="F164" s="421">
        <v>12622</v>
      </c>
      <c r="G164" s="421" t="s">
        <v>1416</v>
      </c>
    </row>
    <row r="165" spans="6:7" x14ac:dyDescent="0.2">
      <c r="F165" s="421">
        <v>12701</v>
      </c>
      <c r="G165" s="421" t="s">
        <v>2657</v>
      </c>
    </row>
    <row r="166" spans="6:7" x14ac:dyDescent="0.2">
      <c r="F166" s="421">
        <v>12732</v>
      </c>
      <c r="G166" s="421" t="s">
        <v>1415</v>
      </c>
    </row>
    <row r="167" spans="6:7" x14ac:dyDescent="0.2">
      <c r="F167" s="421">
        <v>12786</v>
      </c>
      <c r="G167" s="421" t="s">
        <v>1414</v>
      </c>
    </row>
    <row r="168" spans="6:7" x14ac:dyDescent="0.2">
      <c r="F168" s="421">
        <v>12790</v>
      </c>
      <c r="G168" s="421" t="s">
        <v>1413</v>
      </c>
    </row>
    <row r="169" spans="6:7" x14ac:dyDescent="0.2">
      <c r="F169" s="421">
        <v>12816</v>
      </c>
      <c r="G169" s="421" t="s">
        <v>1412</v>
      </c>
    </row>
    <row r="170" spans="6:7" x14ac:dyDescent="0.2">
      <c r="F170" s="421">
        <v>12850</v>
      </c>
      <c r="G170" s="421" t="s">
        <v>1411</v>
      </c>
    </row>
    <row r="171" spans="6:7" x14ac:dyDescent="0.2">
      <c r="F171" s="421">
        <v>12856</v>
      </c>
      <c r="G171" s="421" t="s">
        <v>1410</v>
      </c>
    </row>
    <row r="172" spans="6:7" x14ac:dyDescent="0.2">
      <c r="F172" s="421">
        <v>12859</v>
      </c>
      <c r="G172" s="421" t="s">
        <v>1409</v>
      </c>
    </row>
    <row r="173" spans="6:7" x14ac:dyDescent="0.2">
      <c r="F173" s="421">
        <v>12905</v>
      </c>
      <c r="G173" s="421" t="s">
        <v>1408</v>
      </c>
    </row>
    <row r="174" spans="6:7" x14ac:dyDescent="0.2">
      <c r="F174" s="421">
        <v>12911</v>
      </c>
      <c r="G174" s="421" t="s">
        <v>1407</v>
      </c>
    </row>
    <row r="175" spans="6:7" x14ac:dyDescent="0.2">
      <c r="F175" s="421">
        <v>12929</v>
      </c>
      <c r="G175" s="421" t="s">
        <v>1406</v>
      </c>
    </row>
    <row r="176" spans="6:7" x14ac:dyDescent="0.2">
      <c r="F176" s="421">
        <v>12936</v>
      </c>
      <c r="G176" s="421" t="s">
        <v>3061</v>
      </c>
    </row>
    <row r="177" spans="6:7" x14ac:dyDescent="0.2">
      <c r="F177" s="421">
        <v>12938</v>
      </c>
      <c r="G177" s="421" t="s">
        <v>2658</v>
      </c>
    </row>
    <row r="178" spans="6:7" x14ac:dyDescent="0.2">
      <c r="F178" s="421">
        <v>13014</v>
      </c>
      <c r="G178" s="421" t="s">
        <v>1405</v>
      </c>
    </row>
    <row r="179" spans="6:7" x14ac:dyDescent="0.2">
      <c r="F179" s="421">
        <v>13117</v>
      </c>
      <c r="G179" s="421" t="s">
        <v>1404</v>
      </c>
    </row>
    <row r="180" spans="6:7" x14ac:dyDescent="0.2">
      <c r="F180" s="421">
        <v>13146</v>
      </c>
      <c r="G180" s="421" t="s">
        <v>1403</v>
      </c>
    </row>
    <row r="181" spans="6:7" x14ac:dyDescent="0.2">
      <c r="F181" s="421">
        <v>13186</v>
      </c>
      <c r="G181" s="421" t="s">
        <v>1402</v>
      </c>
    </row>
    <row r="182" spans="6:7" x14ac:dyDescent="0.2">
      <c r="F182" s="421">
        <v>13189</v>
      </c>
      <c r="G182" s="421" t="s">
        <v>1401</v>
      </c>
    </row>
    <row r="183" spans="6:7" x14ac:dyDescent="0.2">
      <c r="F183" s="421">
        <v>13224</v>
      </c>
      <c r="G183" s="421" t="s">
        <v>2659</v>
      </c>
    </row>
    <row r="184" spans="6:7" x14ac:dyDescent="0.2">
      <c r="F184" s="421">
        <v>13325</v>
      </c>
      <c r="G184" s="421" t="s">
        <v>1400</v>
      </c>
    </row>
    <row r="185" spans="6:7" x14ac:dyDescent="0.2">
      <c r="F185" s="421">
        <v>13395</v>
      </c>
      <c r="G185" s="421" t="s">
        <v>3235</v>
      </c>
    </row>
    <row r="186" spans="6:7" x14ac:dyDescent="0.2">
      <c r="F186" s="421">
        <v>13397</v>
      </c>
      <c r="G186" s="421" t="s">
        <v>1399</v>
      </c>
    </row>
    <row r="187" spans="6:7" x14ac:dyDescent="0.2">
      <c r="F187" s="421">
        <v>13500</v>
      </c>
      <c r="G187" s="421" t="s">
        <v>1398</v>
      </c>
    </row>
    <row r="188" spans="6:7" x14ac:dyDescent="0.2">
      <c r="F188" s="421">
        <v>13511</v>
      </c>
      <c r="G188" s="421" t="s">
        <v>3062</v>
      </c>
    </row>
    <row r="189" spans="6:7" x14ac:dyDescent="0.2">
      <c r="F189" s="421">
        <v>13533</v>
      </c>
      <c r="G189" s="421" t="s">
        <v>1397</v>
      </c>
    </row>
    <row r="190" spans="6:7" x14ac:dyDescent="0.2">
      <c r="F190" s="421">
        <v>13573</v>
      </c>
      <c r="G190" s="421" t="s">
        <v>1396</v>
      </c>
    </row>
    <row r="191" spans="6:7" x14ac:dyDescent="0.2">
      <c r="F191" s="421">
        <v>13583</v>
      </c>
      <c r="G191" s="421" t="s">
        <v>1395</v>
      </c>
    </row>
    <row r="192" spans="6:7" x14ac:dyDescent="0.2">
      <c r="F192" s="421">
        <v>13599</v>
      </c>
      <c r="G192" s="421" t="s">
        <v>1394</v>
      </c>
    </row>
    <row r="193" spans="6:7" x14ac:dyDescent="0.2">
      <c r="F193" s="421">
        <v>13627</v>
      </c>
      <c r="G193" s="421" t="s">
        <v>3063</v>
      </c>
    </row>
    <row r="194" spans="6:7" x14ac:dyDescent="0.2">
      <c r="F194" s="421">
        <v>13629</v>
      </c>
      <c r="G194" s="421" t="s">
        <v>1393</v>
      </c>
    </row>
    <row r="195" spans="6:7" x14ac:dyDescent="0.2">
      <c r="F195" s="421">
        <v>13634</v>
      </c>
      <c r="G195" s="421" t="s">
        <v>1392</v>
      </c>
    </row>
    <row r="196" spans="6:7" x14ac:dyDescent="0.2">
      <c r="F196" s="421">
        <v>13636</v>
      </c>
      <c r="G196" s="421" t="s">
        <v>1391</v>
      </c>
    </row>
    <row r="197" spans="6:7" x14ac:dyDescent="0.2">
      <c r="F197" s="421">
        <v>13645</v>
      </c>
      <c r="G197" s="421" t="s">
        <v>1390</v>
      </c>
    </row>
    <row r="198" spans="6:7" x14ac:dyDescent="0.2">
      <c r="F198" s="421">
        <v>13649</v>
      </c>
      <c r="G198" s="421" t="s">
        <v>1389</v>
      </c>
    </row>
    <row r="199" spans="6:7" x14ac:dyDescent="0.2">
      <c r="F199" s="421">
        <v>13652</v>
      </c>
      <c r="G199" s="421" t="s">
        <v>2660</v>
      </c>
    </row>
    <row r="200" spans="6:7" x14ac:dyDescent="0.2">
      <c r="F200" s="421">
        <v>13654</v>
      </c>
      <c r="G200" s="421" t="s">
        <v>1388</v>
      </c>
    </row>
    <row r="201" spans="6:7" x14ac:dyDescent="0.2">
      <c r="F201" s="421">
        <v>13656</v>
      </c>
      <c r="G201" s="421" t="s">
        <v>1387</v>
      </c>
    </row>
    <row r="202" spans="6:7" x14ac:dyDescent="0.2">
      <c r="F202" s="421">
        <v>13659</v>
      </c>
      <c r="G202" s="421" t="s">
        <v>1386</v>
      </c>
    </row>
    <row r="203" spans="6:7" x14ac:dyDescent="0.2">
      <c r="F203" s="421">
        <v>13660</v>
      </c>
      <c r="G203" s="421" t="s">
        <v>1385</v>
      </c>
    </row>
    <row r="204" spans="6:7" x14ac:dyDescent="0.2">
      <c r="F204" s="421">
        <v>13662</v>
      </c>
      <c r="G204" s="421" t="s">
        <v>1384</v>
      </c>
    </row>
    <row r="205" spans="6:7" x14ac:dyDescent="0.2">
      <c r="F205" s="421">
        <v>13664</v>
      </c>
      <c r="G205" s="421" t="s">
        <v>1383</v>
      </c>
    </row>
    <row r="206" spans="6:7" x14ac:dyDescent="0.2">
      <c r="F206" s="421">
        <v>13688</v>
      </c>
      <c r="G206" s="421" t="s">
        <v>1382</v>
      </c>
    </row>
    <row r="207" spans="6:7" x14ac:dyDescent="0.2">
      <c r="F207" s="421">
        <v>13691</v>
      </c>
      <c r="G207" s="421" t="s">
        <v>1381</v>
      </c>
    </row>
    <row r="208" spans="6:7" x14ac:dyDescent="0.2">
      <c r="F208" s="421">
        <v>13692</v>
      </c>
      <c r="G208" s="421" t="s">
        <v>3236</v>
      </c>
    </row>
    <row r="209" spans="6:7" x14ac:dyDescent="0.2">
      <c r="F209" s="421">
        <v>13700</v>
      </c>
      <c r="G209" s="421" t="s">
        <v>1380</v>
      </c>
    </row>
    <row r="210" spans="6:7" x14ac:dyDescent="0.2">
      <c r="F210" s="421">
        <v>13702</v>
      </c>
      <c r="G210" s="421" t="s">
        <v>1379</v>
      </c>
    </row>
    <row r="211" spans="6:7" x14ac:dyDescent="0.2">
      <c r="F211" s="421">
        <v>13704</v>
      </c>
      <c r="G211" s="421" t="s">
        <v>1378</v>
      </c>
    </row>
    <row r="212" spans="6:7" x14ac:dyDescent="0.2">
      <c r="F212" s="421">
        <v>13707</v>
      </c>
      <c r="G212" s="421" t="s">
        <v>1377</v>
      </c>
    </row>
    <row r="213" spans="6:7" x14ac:dyDescent="0.2">
      <c r="F213" s="421">
        <v>13708</v>
      </c>
      <c r="G213" s="421" t="s">
        <v>1376</v>
      </c>
    </row>
    <row r="214" spans="6:7" x14ac:dyDescent="0.2">
      <c r="F214" s="421">
        <v>13712</v>
      </c>
      <c r="G214" s="421" t="s">
        <v>3237</v>
      </c>
    </row>
    <row r="215" spans="6:7" x14ac:dyDescent="0.2">
      <c r="F215" s="421">
        <v>13725</v>
      </c>
      <c r="G215" s="421" t="s">
        <v>1375</v>
      </c>
    </row>
    <row r="216" spans="6:7" x14ac:dyDescent="0.2">
      <c r="F216" s="421">
        <v>13744</v>
      </c>
      <c r="G216" s="421" t="s">
        <v>1374</v>
      </c>
    </row>
    <row r="217" spans="6:7" x14ac:dyDescent="0.2">
      <c r="F217" s="421">
        <v>13749</v>
      </c>
      <c r="G217" s="421" t="s">
        <v>1373</v>
      </c>
    </row>
    <row r="218" spans="6:7" x14ac:dyDescent="0.2">
      <c r="F218" s="421">
        <v>13752</v>
      </c>
      <c r="G218" s="421" t="s">
        <v>1372</v>
      </c>
    </row>
    <row r="219" spans="6:7" x14ac:dyDescent="0.2">
      <c r="F219" s="421">
        <v>13756</v>
      </c>
      <c r="G219" s="421" t="s">
        <v>2661</v>
      </c>
    </row>
    <row r="220" spans="6:7" x14ac:dyDescent="0.2">
      <c r="F220" s="421">
        <v>13757</v>
      </c>
      <c r="G220" s="421" t="s">
        <v>1371</v>
      </c>
    </row>
    <row r="221" spans="6:7" x14ac:dyDescent="0.2">
      <c r="F221" s="421">
        <v>13761</v>
      </c>
      <c r="G221" s="421" t="s">
        <v>1370</v>
      </c>
    </row>
    <row r="222" spans="6:7" x14ac:dyDescent="0.2">
      <c r="F222" s="421">
        <v>13763</v>
      </c>
      <c r="G222" s="421" t="s">
        <v>1369</v>
      </c>
    </row>
    <row r="223" spans="6:7" x14ac:dyDescent="0.2">
      <c r="F223" s="421">
        <v>13764</v>
      </c>
      <c r="G223" s="421" t="s">
        <v>3238</v>
      </c>
    </row>
    <row r="224" spans="6:7" x14ac:dyDescent="0.2">
      <c r="F224" s="421">
        <v>13781</v>
      </c>
      <c r="G224" s="421" t="s">
        <v>1368</v>
      </c>
    </row>
    <row r="225" spans="6:7" x14ac:dyDescent="0.2">
      <c r="F225" s="421">
        <v>13782</v>
      </c>
      <c r="G225" s="421" t="s">
        <v>1367</v>
      </c>
    </row>
    <row r="226" spans="6:7" x14ac:dyDescent="0.2">
      <c r="F226" s="421">
        <v>13792</v>
      </c>
      <c r="G226" s="421" t="s">
        <v>1366</v>
      </c>
    </row>
    <row r="227" spans="6:7" x14ac:dyDescent="0.2">
      <c r="F227" s="421">
        <v>13795</v>
      </c>
      <c r="G227" s="421" t="s">
        <v>1365</v>
      </c>
    </row>
    <row r="228" spans="6:7" x14ac:dyDescent="0.2">
      <c r="F228" s="421">
        <v>13800</v>
      </c>
      <c r="G228" s="421" t="s">
        <v>1364</v>
      </c>
    </row>
    <row r="229" spans="6:7" x14ac:dyDescent="0.2">
      <c r="F229" s="421">
        <v>13805</v>
      </c>
      <c r="G229" s="421" t="s">
        <v>1363</v>
      </c>
    </row>
    <row r="230" spans="6:7" x14ac:dyDescent="0.2">
      <c r="F230" s="421">
        <v>13809</v>
      </c>
      <c r="G230" s="421" t="s">
        <v>1362</v>
      </c>
    </row>
    <row r="231" spans="6:7" x14ac:dyDescent="0.2">
      <c r="F231" s="421">
        <v>13818</v>
      </c>
      <c r="G231" s="421" t="s">
        <v>1658</v>
      </c>
    </row>
    <row r="232" spans="6:7" x14ac:dyDescent="0.2">
      <c r="F232" s="421">
        <v>13820</v>
      </c>
      <c r="G232" s="421" t="s">
        <v>1361</v>
      </c>
    </row>
    <row r="233" spans="6:7" x14ac:dyDescent="0.2">
      <c r="F233" s="421">
        <v>13836</v>
      </c>
      <c r="G233" s="421" t="s">
        <v>1360</v>
      </c>
    </row>
    <row r="234" spans="6:7" x14ac:dyDescent="0.2">
      <c r="F234" s="421">
        <v>13841</v>
      </c>
      <c r="G234" s="421" t="s">
        <v>1359</v>
      </c>
    </row>
    <row r="235" spans="6:7" x14ac:dyDescent="0.2">
      <c r="F235" s="421">
        <v>13871</v>
      </c>
      <c r="G235" s="421" t="s">
        <v>1358</v>
      </c>
    </row>
    <row r="236" spans="6:7" x14ac:dyDescent="0.2">
      <c r="F236" s="421">
        <v>13874</v>
      </c>
      <c r="G236" s="421" t="s">
        <v>1357</v>
      </c>
    </row>
    <row r="237" spans="6:7" x14ac:dyDescent="0.2">
      <c r="F237" s="421">
        <v>13901</v>
      </c>
      <c r="G237" s="421" t="s">
        <v>1659</v>
      </c>
    </row>
    <row r="238" spans="6:7" x14ac:dyDescent="0.2">
      <c r="F238" s="421">
        <v>13908</v>
      </c>
      <c r="G238" s="421" t="s">
        <v>1356</v>
      </c>
    </row>
    <row r="239" spans="6:7" x14ac:dyDescent="0.2">
      <c r="F239" s="421">
        <v>13918</v>
      </c>
      <c r="G239" s="421" t="s">
        <v>1355</v>
      </c>
    </row>
    <row r="240" spans="6:7" x14ac:dyDescent="0.2">
      <c r="F240" s="421">
        <v>13925</v>
      </c>
      <c r="G240" s="421" t="s">
        <v>1354</v>
      </c>
    </row>
    <row r="241" spans="6:7" x14ac:dyDescent="0.2">
      <c r="F241" s="421">
        <v>13931</v>
      </c>
      <c r="G241" s="421" t="s">
        <v>3239</v>
      </c>
    </row>
    <row r="242" spans="6:7" x14ac:dyDescent="0.2">
      <c r="F242" s="421">
        <v>13941</v>
      </c>
      <c r="G242" s="421" t="s">
        <v>2663</v>
      </c>
    </row>
    <row r="243" spans="6:7" x14ac:dyDescent="0.2">
      <c r="F243" s="421">
        <v>13968</v>
      </c>
      <c r="G243" s="421" t="s">
        <v>1353</v>
      </c>
    </row>
    <row r="244" spans="6:7" x14ac:dyDescent="0.2">
      <c r="F244" s="421">
        <v>13981</v>
      </c>
      <c r="G244" s="421" t="s">
        <v>1352</v>
      </c>
    </row>
    <row r="245" spans="6:7" x14ac:dyDescent="0.2">
      <c r="F245" s="421">
        <v>13989</v>
      </c>
      <c r="G245" s="421" t="s">
        <v>1351</v>
      </c>
    </row>
    <row r="246" spans="6:7" x14ac:dyDescent="0.2">
      <c r="F246" s="421">
        <v>13991</v>
      </c>
      <c r="G246" s="421" t="s">
        <v>3064</v>
      </c>
    </row>
    <row r="247" spans="6:7" x14ac:dyDescent="0.2">
      <c r="F247" s="421">
        <v>14001</v>
      </c>
      <c r="G247" s="421" t="s">
        <v>1350</v>
      </c>
    </row>
    <row r="248" spans="6:7" x14ac:dyDescent="0.2">
      <c r="F248" s="421">
        <v>14027</v>
      </c>
      <c r="G248" s="421" t="s">
        <v>1349</v>
      </c>
    </row>
    <row r="249" spans="6:7" x14ac:dyDescent="0.2">
      <c r="F249" s="421">
        <v>14033</v>
      </c>
      <c r="G249" s="421" t="s">
        <v>1348</v>
      </c>
    </row>
    <row r="250" spans="6:7" x14ac:dyDescent="0.2">
      <c r="F250" s="421">
        <v>14045</v>
      </c>
      <c r="G250" s="421" t="s">
        <v>1347</v>
      </c>
    </row>
    <row r="251" spans="6:7" x14ac:dyDescent="0.2">
      <c r="F251" s="421">
        <v>14097</v>
      </c>
      <c r="G251" s="421" t="s">
        <v>1346</v>
      </c>
    </row>
    <row r="252" spans="6:7" x14ac:dyDescent="0.2">
      <c r="F252" s="421">
        <v>14099</v>
      </c>
      <c r="G252" s="421" t="s">
        <v>1345</v>
      </c>
    </row>
    <row r="253" spans="6:7" x14ac:dyDescent="0.2">
      <c r="F253" s="421">
        <v>14105</v>
      </c>
      <c r="G253" s="421" t="s">
        <v>1344</v>
      </c>
    </row>
    <row r="254" spans="6:7" x14ac:dyDescent="0.2">
      <c r="F254" s="421">
        <v>14108</v>
      </c>
      <c r="G254" s="421" t="s">
        <v>1343</v>
      </c>
    </row>
    <row r="255" spans="6:7" x14ac:dyDescent="0.2">
      <c r="F255" s="421">
        <v>14139</v>
      </c>
      <c r="G255" s="421" t="s">
        <v>1342</v>
      </c>
    </row>
    <row r="256" spans="6:7" x14ac:dyDescent="0.2">
      <c r="F256" s="421">
        <v>14143</v>
      </c>
      <c r="G256" s="421" t="s">
        <v>2664</v>
      </c>
    </row>
    <row r="257" spans="6:7" x14ac:dyDescent="0.2">
      <c r="F257" s="421">
        <v>14145</v>
      </c>
      <c r="G257" s="421" t="s">
        <v>1341</v>
      </c>
    </row>
    <row r="258" spans="6:7" x14ac:dyDescent="0.2">
      <c r="F258" s="421">
        <v>14148</v>
      </c>
      <c r="G258" s="421" t="s">
        <v>1340</v>
      </c>
    </row>
    <row r="259" spans="6:7" x14ac:dyDescent="0.2">
      <c r="F259" s="421">
        <v>14150</v>
      </c>
      <c r="G259" s="421" t="s">
        <v>1339</v>
      </c>
    </row>
    <row r="260" spans="6:7" x14ac:dyDescent="0.2">
      <c r="F260" s="421">
        <v>14151</v>
      </c>
      <c r="G260" s="421" t="s">
        <v>1338</v>
      </c>
    </row>
    <row r="261" spans="6:7" x14ac:dyDescent="0.2">
      <c r="F261" s="421">
        <v>14157</v>
      </c>
      <c r="G261" s="421" t="s">
        <v>1660</v>
      </c>
    </row>
    <row r="262" spans="6:7" x14ac:dyDescent="0.2">
      <c r="F262" s="421">
        <v>14159</v>
      </c>
      <c r="G262" s="421" t="s">
        <v>1337</v>
      </c>
    </row>
    <row r="263" spans="6:7" x14ac:dyDescent="0.2">
      <c r="F263" s="421">
        <v>14167</v>
      </c>
      <c r="G263" s="421" t="s">
        <v>1336</v>
      </c>
    </row>
    <row r="264" spans="6:7" x14ac:dyDescent="0.2">
      <c r="F264" s="421">
        <v>14168</v>
      </c>
      <c r="G264" s="421" t="s">
        <v>3240</v>
      </c>
    </row>
    <row r="265" spans="6:7" x14ac:dyDescent="0.2">
      <c r="F265" s="421">
        <v>14172</v>
      </c>
      <c r="G265" s="421" t="s">
        <v>1335</v>
      </c>
    </row>
    <row r="266" spans="6:7" x14ac:dyDescent="0.2">
      <c r="F266" s="421">
        <v>14177</v>
      </c>
      <c r="G266" s="421" t="s">
        <v>1334</v>
      </c>
    </row>
    <row r="267" spans="6:7" x14ac:dyDescent="0.2">
      <c r="F267" s="421">
        <v>14188</v>
      </c>
      <c r="G267" s="421" t="s">
        <v>1333</v>
      </c>
    </row>
    <row r="268" spans="6:7" x14ac:dyDescent="0.2">
      <c r="F268" s="421">
        <v>14190</v>
      </c>
      <c r="G268" s="421" t="s">
        <v>3241</v>
      </c>
    </row>
    <row r="269" spans="6:7" x14ac:dyDescent="0.2">
      <c r="F269" s="421">
        <v>14195</v>
      </c>
      <c r="G269" s="421" t="s">
        <v>1332</v>
      </c>
    </row>
    <row r="270" spans="6:7" x14ac:dyDescent="0.2">
      <c r="F270" s="421">
        <v>14196</v>
      </c>
      <c r="G270" s="421" t="s">
        <v>1331</v>
      </c>
    </row>
    <row r="271" spans="6:7" x14ac:dyDescent="0.2">
      <c r="F271" s="421">
        <v>14197</v>
      </c>
      <c r="G271" s="421" t="s">
        <v>1330</v>
      </c>
    </row>
    <row r="272" spans="6:7" x14ac:dyDescent="0.2">
      <c r="F272" s="421">
        <v>14198</v>
      </c>
      <c r="G272" s="421" t="s">
        <v>1329</v>
      </c>
    </row>
    <row r="273" spans="6:7" x14ac:dyDescent="0.2">
      <c r="F273" s="421">
        <v>14199</v>
      </c>
      <c r="G273" s="421" t="s">
        <v>1328</v>
      </c>
    </row>
    <row r="274" spans="6:7" x14ac:dyDescent="0.2">
      <c r="F274" s="421">
        <v>14200</v>
      </c>
      <c r="G274" s="421" t="s">
        <v>1327</v>
      </c>
    </row>
    <row r="275" spans="6:7" x14ac:dyDescent="0.2">
      <c r="F275" s="421">
        <v>14209</v>
      </c>
      <c r="G275" s="421" t="s">
        <v>2665</v>
      </c>
    </row>
    <row r="276" spans="6:7" x14ac:dyDescent="0.2">
      <c r="F276" s="421">
        <v>14211</v>
      </c>
      <c r="G276" s="421" t="s">
        <v>2666</v>
      </c>
    </row>
    <row r="277" spans="6:7" x14ac:dyDescent="0.2">
      <c r="F277" s="421">
        <v>14212</v>
      </c>
      <c r="G277" s="421" t="s">
        <v>2667</v>
      </c>
    </row>
    <row r="278" spans="6:7" x14ac:dyDescent="0.2">
      <c r="F278" s="421">
        <v>14216</v>
      </c>
      <c r="G278" s="421" t="s">
        <v>3242</v>
      </c>
    </row>
    <row r="279" spans="6:7" x14ac:dyDescent="0.2">
      <c r="F279" s="421">
        <v>14223</v>
      </c>
      <c r="G279" s="421" t="s">
        <v>3243</v>
      </c>
    </row>
    <row r="280" spans="6:7" x14ac:dyDescent="0.2">
      <c r="F280" s="421">
        <v>14226</v>
      </c>
      <c r="G280" s="421" t="s">
        <v>1326</v>
      </c>
    </row>
    <row r="281" spans="6:7" x14ac:dyDescent="0.2">
      <c r="F281" s="421">
        <v>14230</v>
      </c>
      <c r="G281" s="421" t="s">
        <v>1325</v>
      </c>
    </row>
    <row r="282" spans="6:7" x14ac:dyDescent="0.2">
      <c r="F282" s="421">
        <v>14231</v>
      </c>
      <c r="G282" s="421" t="s">
        <v>1324</v>
      </c>
    </row>
    <row r="283" spans="6:7" x14ac:dyDescent="0.2">
      <c r="F283" s="421">
        <v>14234</v>
      </c>
      <c r="G283" s="421" t="s">
        <v>1323</v>
      </c>
    </row>
    <row r="284" spans="6:7" x14ac:dyDescent="0.2">
      <c r="F284" s="421">
        <v>14236</v>
      </c>
      <c r="G284" s="421" t="s">
        <v>1322</v>
      </c>
    </row>
    <row r="285" spans="6:7" x14ac:dyDescent="0.2">
      <c r="F285" s="421">
        <v>14252</v>
      </c>
      <c r="G285" s="421" t="s">
        <v>3244</v>
      </c>
    </row>
    <row r="286" spans="6:7" x14ac:dyDescent="0.2">
      <c r="F286" s="421">
        <v>14254</v>
      </c>
      <c r="G286" s="421" t="s">
        <v>3245</v>
      </c>
    </row>
    <row r="287" spans="6:7" x14ac:dyDescent="0.2">
      <c r="F287" s="421">
        <v>14261</v>
      </c>
      <c r="G287" s="421" t="s">
        <v>1321</v>
      </c>
    </row>
    <row r="288" spans="6:7" x14ac:dyDescent="0.2">
      <c r="F288" s="421">
        <v>14262</v>
      </c>
      <c r="G288" s="421" t="s">
        <v>3246</v>
      </c>
    </row>
    <row r="289" spans="6:7" x14ac:dyDescent="0.2">
      <c r="F289" s="421">
        <v>14265</v>
      </c>
      <c r="G289" s="421" t="s">
        <v>1320</v>
      </c>
    </row>
    <row r="290" spans="6:7" x14ac:dyDescent="0.2">
      <c r="F290" s="421">
        <v>14267</v>
      </c>
      <c r="G290" s="421" t="s">
        <v>1319</v>
      </c>
    </row>
    <row r="291" spans="6:7" x14ac:dyDescent="0.2">
      <c r="F291" s="421">
        <v>14276</v>
      </c>
      <c r="G291" s="421" t="s">
        <v>1318</v>
      </c>
    </row>
    <row r="292" spans="6:7" x14ac:dyDescent="0.2">
      <c r="F292" s="421">
        <v>14278</v>
      </c>
      <c r="G292" s="421" t="s">
        <v>1317</v>
      </c>
    </row>
    <row r="293" spans="6:7" x14ac:dyDescent="0.2">
      <c r="F293" s="421">
        <v>14284</v>
      </c>
      <c r="G293" s="421" t="s">
        <v>1316</v>
      </c>
    </row>
    <row r="294" spans="6:7" x14ac:dyDescent="0.2">
      <c r="F294" s="421">
        <v>14286</v>
      </c>
      <c r="G294" s="421" t="s">
        <v>1315</v>
      </c>
    </row>
    <row r="295" spans="6:7" x14ac:dyDescent="0.2">
      <c r="F295" s="421">
        <v>14296</v>
      </c>
      <c r="G295" s="421" t="s">
        <v>1314</v>
      </c>
    </row>
    <row r="296" spans="6:7" x14ac:dyDescent="0.2">
      <c r="F296" s="421">
        <v>14299</v>
      </c>
      <c r="G296" s="421" t="s">
        <v>1661</v>
      </c>
    </row>
    <row r="297" spans="6:7" x14ac:dyDescent="0.2">
      <c r="F297" s="421">
        <v>14300</v>
      </c>
      <c r="G297" s="421" t="s">
        <v>1313</v>
      </c>
    </row>
    <row r="298" spans="6:7" x14ac:dyDescent="0.2">
      <c r="F298" s="421">
        <v>14306</v>
      </c>
      <c r="G298" s="421" t="s">
        <v>1312</v>
      </c>
    </row>
    <row r="299" spans="6:7" x14ac:dyDescent="0.2">
      <c r="F299" s="421">
        <v>14307</v>
      </c>
      <c r="G299" s="421" t="s">
        <v>1662</v>
      </c>
    </row>
    <row r="300" spans="6:7" x14ac:dyDescent="0.2">
      <c r="F300" s="421">
        <v>14309</v>
      </c>
      <c r="G300" s="421" t="s">
        <v>1311</v>
      </c>
    </row>
    <row r="301" spans="6:7" x14ac:dyDescent="0.2">
      <c r="F301" s="421">
        <v>14316</v>
      </c>
      <c r="G301" s="421" t="s">
        <v>1310</v>
      </c>
    </row>
    <row r="302" spans="6:7" x14ac:dyDescent="0.2">
      <c r="F302" s="421">
        <v>14317</v>
      </c>
      <c r="G302" s="421" t="s">
        <v>1309</v>
      </c>
    </row>
    <row r="303" spans="6:7" x14ac:dyDescent="0.2">
      <c r="F303" s="421">
        <v>14323</v>
      </c>
      <c r="G303" s="421" t="s">
        <v>1308</v>
      </c>
    </row>
    <row r="304" spans="6:7" x14ac:dyDescent="0.2">
      <c r="F304" s="421">
        <v>14345</v>
      </c>
      <c r="G304" s="421" t="s">
        <v>1307</v>
      </c>
    </row>
    <row r="305" spans="6:7" x14ac:dyDescent="0.2">
      <c r="F305" s="421">
        <v>14346</v>
      </c>
      <c r="G305" s="421" t="s">
        <v>1306</v>
      </c>
    </row>
    <row r="306" spans="6:7" x14ac:dyDescent="0.2">
      <c r="F306" s="421">
        <v>14348</v>
      </c>
      <c r="G306" s="421" t="s">
        <v>1305</v>
      </c>
    </row>
    <row r="307" spans="6:7" x14ac:dyDescent="0.2">
      <c r="F307" s="421">
        <v>14350</v>
      </c>
      <c r="G307" s="421" t="s">
        <v>1304</v>
      </c>
    </row>
    <row r="308" spans="6:7" x14ac:dyDescent="0.2">
      <c r="F308" s="421">
        <v>14351</v>
      </c>
      <c r="G308" s="421" t="s">
        <v>1663</v>
      </c>
    </row>
    <row r="309" spans="6:7" x14ac:dyDescent="0.2">
      <c r="F309" s="421">
        <v>14353</v>
      </c>
      <c r="G309" s="421" t="s">
        <v>1303</v>
      </c>
    </row>
    <row r="310" spans="6:7" x14ac:dyDescent="0.2">
      <c r="F310" s="421">
        <v>14361</v>
      </c>
      <c r="G310" s="421" t="s">
        <v>1302</v>
      </c>
    </row>
    <row r="311" spans="6:7" x14ac:dyDescent="0.2">
      <c r="F311" s="421">
        <v>14365</v>
      </c>
      <c r="G311" s="421" t="s">
        <v>2668</v>
      </c>
    </row>
    <row r="312" spans="6:7" x14ac:dyDescent="0.2">
      <c r="F312" s="421">
        <v>14368</v>
      </c>
      <c r="G312" s="421" t="s">
        <v>3247</v>
      </c>
    </row>
    <row r="313" spans="6:7" x14ac:dyDescent="0.2">
      <c r="F313" s="421">
        <v>14370</v>
      </c>
      <c r="G313" s="421" t="s">
        <v>1301</v>
      </c>
    </row>
    <row r="314" spans="6:7" x14ac:dyDescent="0.2">
      <c r="F314" s="421">
        <v>14378</v>
      </c>
      <c r="G314" s="421" t="s">
        <v>1300</v>
      </c>
    </row>
    <row r="315" spans="6:7" x14ac:dyDescent="0.2">
      <c r="F315" s="421">
        <v>14379</v>
      </c>
      <c r="G315" s="421" t="s">
        <v>1299</v>
      </c>
    </row>
    <row r="316" spans="6:7" x14ac:dyDescent="0.2">
      <c r="F316" s="421">
        <v>14382</v>
      </c>
      <c r="G316" s="421" t="s">
        <v>1298</v>
      </c>
    </row>
    <row r="317" spans="6:7" x14ac:dyDescent="0.2">
      <c r="F317" s="421">
        <v>14391</v>
      </c>
      <c r="G317" s="421" t="s">
        <v>1297</v>
      </c>
    </row>
    <row r="318" spans="6:7" x14ac:dyDescent="0.2">
      <c r="F318" s="421">
        <v>14393</v>
      </c>
      <c r="G318" s="421" t="s">
        <v>1296</v>
      </c>
    </row>
    <row r="319" spans="6:7" x14ac:dyDescent="0.2">
      <c r="F319" s="421">
        <v>14398</v>
      </c>
      <c r="G319" s="421" t="s">
        <v>1295</v>
      </c>
    </row>
    <row r="320" spans="6:7" x14ac:dyDescent="0.2">
      <c r="F320" s="421">
        <v>14399</v>
      </c>
      <c r="G320" s="421" t="s">
        <v>1294</v>
      </c>
    </row>
    <row r="321" spans="6:7" x14ac:dyDescent="0.2">
      <c r="F321" s="421">
        <v>14400</v>
      </c>
      <c r="G321" s="421" t="s">
        <v>1293</v>
      </c>
    </row>
    <row r="322" spans="6:7" x14ac:dyDescent="0.2">
      <c r="F322" s="421">
        <v>14409</v>
      </c>
      <c r="G322" s="421" t="s">
        <v>1292</v>
      </c>
    </row>
    <row r="323" spans="6:7" x14ac:dyDescent="0.2">
      <c r="F323" s="421">
        <v>14410</v>
      </c>
      <c r="G323" s="421" t="s">
        <v>2669</v>
      </c>
    </row>
    <row r="324" spans="6:7" x14ac:dyDescent="0.2">
      <c r="F324" s="421">
        <v>14411</v>
      </c>
      <c r="G324" s="421" t="s">
        <v>1291</v>
      </c>
    </row>
    <row r="325" spans="6:7" x14ac:dyDescent="0.2">
      <c r="F325" s="421">
        <v>14412</v>
      </c>
      <c r="G325" s="421" t="s">
        <v>1290</v>
      </c>
    </row>
    <row r="326" spans="6:7" x14ac:dyDescent="0.2">
      <c r="F326" s="421">
        <v>14420</v>
      </c>
      <c r="G326" s="421" t="s">
        <v>1289</v>
      </c>
    </row>
    <row r="327" spans="6:7" x14ac:dyDescent="0.2">
      <c r="F327" s="421">
        <v>14424</v>
      </c>
      <c r="G327" s="421" t="s">
        <v>2670</v>
      </c>
    </row>
    <row r="328" spans="6:7" x14ac:dyDescent="0.2">
      <c r="F328" s="421">
        <v>14425</v>
      </c>
      <c r="G328" s="421" t="s">
        <v>1664</v>
      </c>
    </row>
    <row r="329" spans="6:7" x14ac:dyDescent="0.2">
      <c r="F329" s="421">
        <v>14428</v>
      </c>
      <c r="G329" s="421" t="s">
        <v>3065</v>
      </c>
    </row>
    <row r="330" spans="6:7" x14ac:dyDescent="0.2">
      <c r="F330" s="421">
        <v>14429</v>
      </c>
      <c r="G330" s="421" t="s">
        <v>1288</v>
      </c>
    </row>
    <row r="331" spans="6:7" x14ac:dyDescent="0.2">
      <c r="F331" s="421">
        <v>14435</v>
      </c>
      <c r="G331" s="421" t="s">
        <v>1287</v>
      </c>
    </row>
    <row r="332" spans="6:7" x14ac:dyDescent="0.2">
      <c r="F332" s="421">
        <v>14446</v>
      </c>
      <c r="G332" s="421" t="s">
        <v>1286</v>
      </c>
    </row>
    <row r="333" spans="6:7" x14ac:dyDescent="0.2">
      <c r="F333" s="421">
        <v>14460</v>
      </c>
      <c r="G333" s="421" t="s">
        <v>2671</v>
      </c>
    </row>
    <row r="334" spans="6:7" x14ac:dyDescent="0.2">
      <c r="F334" s="421">
        <v>14482</v>
      </c>
      <c r="G334" s="421" t="s">
        <v>2672</v>
      </c>
    </row>
    <row r="335" spans="6:7" x14ac:dyDescent="0.2">
      <c r="F335" s="421">
        <v>14487</v>
      </c>
      <c r="G335" s="421" t="s">
        <v>1285</v>
      </c>
    </row>
    <row r="336" spans="6:7" x14ac:dyDescent="0.2">
      <c r="F336" s="421">
        <v>14488</v>
      </c>
      <c r="G336" s="421" t="s">
        <v>1284</v>
      </c>
    </row>
    <row r="337" spans="6:7" x14ac:dyDescent="0.2">
      <c r="F337" s="421">
        <v>14514</v>
      </c>
      <c r="G337" s="421" t="s">
        <v>1283</v>
      </c>
    </row>
    <row r="338" spans="6:7" x14ac:dyDescent="0.2">
      <c r="F338" s="421">
        <v>14517</v>
      </c>
      <c r="G338" s="421" t="s">
        <v>1282</v>
      </c>
    </row>
    <row r="339" spans="6:7" x14ac:dyDescent="0.2">
      <c r="F339" s="421">
        <v>14519</v>
      </c>
      <c r="G339" s="421" t="s">
        <v>1281</v>
      </c>
    </row>
    <row r="340" spans="6:7" x14ac:dyDescent="0.2">
      <c r="F340" s="421">
        <v>14530</v>
      </c>
      <c r="G340" s="421" t="s">
        <v>1280</v>
      </c>
    </row>
    <row r="341" spans="6:7" x14ac:dyDescent="0.2">
      <c r="F341" s="421">
        <v>14531</v>
      </c>
      <c r="G341" s="421" t="s">
        <v>1279</v>
      </c>
    </row>
    <row r="342" spans="6:7" x14ac:dyDescent="0.2">
      <c r="F342" s="421">
        <v>14534</v>
      </c>
      <c r="G342" s="421" t="s">
        <v>1278</v>
      </c>
    </row>
    <row r="343" spans="6:7" x14ac:dyDescent="0.2">
      <c r="F343" s="421">
        <v>14552</v>
      </c>
      <c r="G343" s="421" t="s">
        <v>1277</v>
      </c>
    </row>
    <row r="344" spans="6:7" x14ac:dyDescent="0.2">
      <c r="F344" s="421">
        <v>14553</v>
      </c>
      <c r="G344" s="421" t="s">
        <v>1276</v>
      </c>
    </row>
    <row r="345" spans="6:7" x14ac:dyDescent="0.2">
      <c r="F345" s="421">
        <v>14562</v>
      </c>
      <c r="G345" s="421" t="s">
        <v>1275</v>
      </c>
    </row>
    <row r="346" spans="6:7" x14ac:dyDescent="0.2">
      <c r="F346" s="421">
        <v>14564</v>
      </c>
      <c r="G346" s="421" t="s">
        <v>1274</v>
      </c>
    </row>
    <row r="347" spans="6:7" x14ac:dyDescent="0.2">
      <c r="F347" s="421">
        <v>14600</v>
      </c>
      <c r="G347" s="421" t="s">
        <v>1273</v>
      </c>
    </row>
    <row r="348" spans="6:7" x14ac:dyDescent="0.2">
      <c r="F348" s="421">
        <v>14611</v>
      </c>
      <c r="G348" s="421" t="s">
        <v>1272</v>
      </c>
    </row>
    <row r="349" spans="6:7" x14ac:dyDescent="0.2">
      <c r="F349" s="421">
        <v>14618</v>
      </c>
      <c r="G349" s="421" t="s">
        <v>1271</v>
      </c>
    </row>
    <row r="350" spans="6:7" x14ac:dyDescent="0.2">
      <c r="F350" s="421">
        <v>14630</v>
      </c>
      <c r="G350" s="421" t="s">
        <v>1270</v>
      </c>
    </row>
    <row r="351" spans="6:7" x14ac:dyDescent="0.2">
      <c r="F351" s="421">
        <v>14639</v>
      </c>
      <c r="G351" s="421" t="s">
        <v>1269</v>
      </c>
    </row>
    <row r="352" spans="6:7" x14ac:dyDescent="0.2">
      <c r="F352" s="421">
        <v>14644</v>
      </c>
      <c r="G352" s="421" t="s">
        <v>1268</v>
      </c>
    </row>
    <row r="353" spans="6:7" x14ac:dyDescent="0.2">
      <c r="F353" s="421">
        <v>14666</v>
      </c>
      <c r="G353" s="421" t="s">
        <v>1267</v>
      </c>
    </row>
    <row r="354" spans="6:7" x14ac:dyDescent="0.2">
      <c r="F354" s="421">
        <v>14717</v>
      </c>
      <c r="G354" s="421" t="s">
        <v>1266</v>
      </c>
    </row>
    <row r="355" spans="6:7" x14ac:dyDescent="0.2">
      <c r="F355" s="421">
        <v>14772</v>
      </c>
      <c r="G355" s="421" t="s">
        <v>1265</v>
      </c>
    </row>
    <row r="356" spans="6:7" x14ac:dyDescent="0.2">
      <c r="F356" s="421">
        <v>14782</v>
      </c>
      <c r="G356" s="421" t="s">
        <v>1264</v>
      </c>
    </row>
    <row r="357" spans="6:7" x14ac:dyDescent="0.2">
      <c r="F357" s="421">
        <v>14814</v>
      </c>
      <c r="G357" s="421" t="s">
        <v>1263</v>
      </c>
    </row>
    <row r="358" spans="6:7" x14ac:dyDescent="0.2">
      <c r="F358" s="421">
        <v>14828</v>
      </c>
      <c r="G358" s="421" t="s">
        <v>1262</v>
      </c>
    </row>
    <row r="359" spans="6:7" x14ac:dyDescent="0.2">
      <c r="F359" s="421">
        <v>14833</v>
      </c>
      <c r="G359" s="421" t="s">
        <v>1261</v>
      </c>
    </row>
    <row r="360" spans="6:7" x14ac:dyDescent="0.2">
      <c r="F360" s="421">
        <v>14854</v>
      </c>
      <c r="G360" s="421" t="s">
        <v>1260</v>
      </c>
    </row>
    <row r="361" spans="6:7" x14ac:dyDescent="0.2">
      <c r="F361" s="421">
        <v>14856</v>
      </c>
      <c r="G361" s="421" t="s">
        <v>1259</v>
      </c>
    </row>
    <row r="362" spans="6:7" x14ac:dyDescent="0.2">
      <c r="F362" s="421">
        <v>14875</v>
      </c>
      <c r="G362" s="421" t="s">
        <v>1258</v>
      </c>
    </row>
    <row r="363" spans="6:7" x14ac:dyDescent="0.2">
      <c r="F363" s="421">
        <v>14883</v>
      </c>
      <c r="G363" s="421" t="s">
        <v>1257</v>
      </c>
    </row>
    <row r="364" spans="6:7" x14ac:dyDescent="0.2">
      <c r="F364" s="421">
        <v>14894</v>
      </c>
      <c r="G364" s="421" t="s">
        <v>1256</v>
      </c>
    </row>
    <row r="365" spans="6:7" x14ac:dyDescent="0.2">
      <c r="F365" s="421">
        <v>14895</v>
      </c>
      <c r="G365" s="421" t="s">
        <v>1255</v>
      </c>
    </row>
    <row r="366" spans="6:7" x14ac:dyDescent="0.2">
      <c r="F366" s="421">
        <v>14905</v>
      </c>
      <c r="G366" s="421" t="s">
        <v>1254</v>
      </c>
    </row>
    <row r="367" spans="6:7" x14ac:dyDescent="0.2">
      <c r="F367" s="421">
        <v>14910</v>
      </c>
      <c r="G367" s="421" t="s">
        <v>1253</v>
      </c>
    </row>
    <row r="368" spans="6:7" x14ac:dyDescent="0.2">
      <c r="F368" s="421">
        <v>14923</v>
      </c>
      <c r="G368" s="421" t="s">
        <v>1252</v>
      </c>
    </row>
    <row r="369" spans="6:7" x14ac:dyDescent="0.2">
      <c r="F369" s="421">
        <v>14938</v>
      </c>
      <c r="G369" s="421" t="s">
        <v>1251</v>
      </c>
    </row>
    <row r="370" spans="6:7" x14ac:dyDescent="0.2">
      <c r="F370" s="421">
        <v>14956</v>
      </c>
      <c r="G370" s="421" t="s">
        <v>3248</v>
      </c>
    </row>
    <row r="371" spans="6:7" x14ac:dyDescent="0.2">
      <c r="F371" s="421">
        <v>14984</v>
      </c>
      <c r="G371" s="421" t="s">
        <v>1250</v>
      </c>
    </row>
    <row r="372" spans="6:7" x14ac:dyDescent="0.2">
      <c r="F372" s="421">
        <v>15008</v>
      </c>
      <c r="G372" s="421" t="s">
        <v>1249</v>
      </c>
    </row>
    <row r="373" spans="6:7" x14ac:dyDescent="0.2">
      <c r="F373" s="421">
        <v>15023</v>
      </c>
      <c r="G373" s="421" t="s">
        <v>1248</v>
      </c>
    </row>
    <row r="374" spans="6:7" x14ac:dyDescent="0.2">
      <c r="F374" s="421">
        <v>15031</v>
      </c>
      <c r="G374" s="421" t="s">
        <v>1247</v>
      </c>
    </row>
    <row r="375" spans="6:7" x14ac:dyDescent="0.2">
      <c r="F375" s="421">
        <v>15032</v>
      </c>
      <c r="G375" s="421" t="s">
        <v>1246</v>
      </c>
    </row>
    <row r="376" spans="6:7" x14ac:dyDescent="0.2">
      <c r="F376" s="421">
        <v>15035</v>
      </c>
      <c r="G376" s="421" t="s">
        <v>1245</v>
      </c>
    </row>
    <row r="377" spans="6:7" x14ac:dyDescent="0.2">
      <c r="F377" s="421">
        <v>15115</v>
      </c>
      <c r="G377" s="421" t="s">
        <v>1244</v>
      </c>
    </row>
    <row r="378" spans="6:7" x14ac:dyDescent="0.2">
      <c r="F378" s="421">
        <v>15117</v>
      </c>
      <c r="G378" s="421" t="s">
        <v>1243</v>
      </c>
    </row>
    <row r="379" spans="6:7" x14ac:dyDescent="0.2">
      <c r="F379" s="421">
        <v>15123</v>
      </c>
      <c r="G379" s="421" t="s">
        <v>1242</v>
      </c>
    </row>
    <row r="380" spans="6:7" x14ac:dyDescent="0.2">
      <c r="F380" s="421">
        <v>15233</v>
      </c>
      <c r="G380" s="421" t="s">
        <v>1665</v>
      </c>
    </row>
    <row r="381" spans="6:7" x14ac:dyDescent="0.2">
      <c r="F381" s="421">
        <v>15237</v>
      </c>
      <c r="G381" s="421" t="s">
        <v>1241</v>
      </c>
    </row>
    <row r="382" spans="6:7" x14ac:dyDescent="0.2">
      <c r="F382" s="421">
        <v>15255</v>
      </c>
      <c r="G382" s="421" t="s">
        <v>1240</v>
      </c>
    </row>
    <row r="383" spans="6:7" x14ac:dyDescent="0.2">
      <c r="F383" s="421">
        <v>15280</v>
      </c>
      <c r="G383" s="421" t="s">
        <v>1239</v>
      </c>
    </row>
    <row r="384" spans="6:7" x14ac:dyDescent="0.2">
      <c r="F384" s="421">
        <v>15486</v>
      </c>
      <c r="G384" s="421" t="s">
        <v>1238</v>
      </c>
    </row>
    <row r="385" spans="6:7" x14ac:dyDescent="0.2">
      <c r="F385" s="421">
        <v>15548</v>
      </c>
      <c r="G385" s="421" t="s">
        <v>1237</v>
      </c>
    </row>
    <row r="386" spans="6:7" x14ac:dyDescent="0.2">
      <c r="F386" s="421">
        <v>15700</v>
      </c>
      <c r="G386" s="421" t="s">
        <v>1236</v>
      </c>
    </row>
    <row r="387" spans="6:7" x14ac:dyDescent="0.2">
      <c r="F387" s="421">
        <v>15899</v>
      </c>
      <c r="G387" s="421" t="s">
        <v>2673</v>
      </c>
    </row>
    <row r="388" spans="6:7" x14ac:dyDescent="0.2">
      <c r="F388" s="421">
        <v>15984</v>
      </c>
      <c r="G388" s="421" t="s">
        <v>1235</v>
      </c>
    </row>
    <row r="389" spans="6:7" x14ac:dyDescent="0.2">
      <c r="F389" s="421">
        <v>16673</v>
      </c>
      <c r="G389" s="421" t="s">
        <v>1234</v>
      </c>
    </row>
    <row r="390" spans="6:7" x14ac:dyDescent="0.2">
      <c r="F390" s="421">
        <v>16769</v>
      </c>
      <c r="G390" s="421" t="s">
        <v>1233</v>
      </c>
    </row>
    <row r="391" spans="6:7" x14ac:dyDescent="0.2">
      <c r="F391" s="421">
        <v>16770</v>
      </c>
      <c r="G391" s="421" t="s">
        <v>1232</v>
      </c>
    </row>
    <row r="392" spans="6:7" x14ac:dyDescent="0.2">
      <c r="F392" s="421">
        <v>16779</v>
      </c>
      <c r="G392" s="421" t="s">
        <v>1231</v>
      </c>
    </row>
    <row r="393" spans="6:7" x14ac:dyDescent="0.2">
      <c r="F393" s="421">
        <v>16851</v>
      </c>
      <c r="G393" s="421" t="s">
        <v>1230</v>
      </c>
    </row>
    <row r="394" spans="6:7" x14ac:dyDescent="0.2">
      <c r="F394" s="421">
        <v>16858</v>
      </c>
      <c r="G394" s="421" t="s">
        <v>1229</v>
      </c>
    </row>
    <row r="395" spans="6:7" x14ac:dyDescent="0.2">
      <c r="F395" s="421">
        <v>16880</v>
      </c>
      <c r="G395" s="421" t="s">
        <v>1228</v>
      </c>
    </row>
    <row r="396" spans="6:7" x14ac:dyDescent="0.2">
      <c r="F396" s="421">
        <v>16890</v>
      </c>
      <c r="G396" s="421" t="s">
        <v>1227</v>
      </c>
    </row>
    <row r="397" spans="6:7" x14ac:dyDescent="0.2">
      <c r="F397" s="421">
        <v>16919</v>
      </c>
      <c r="G397" s="421" t="s">
        <v>1226</v>
      </c>
    </row>
    <row r="398" spans="6:7" x14ac:dyDescent="0.2">
      <c r="F398" s="421">
        <v>16925</v>
      </c>
      <c r="G398" s="421" t="s">
        <v>1225</v>
      </c>
    </row>
    <row r="399" spans="6:7" x14ac:dyDescent="0.2">
      <c r="F399" s="421">
        <v>16934</v>
      </c>
      <c r="G399" s="421" t="s">
        <v>1224</v>
      </c>
    </row>
    <row r="400" spans="6:7" x14ac:dyDescent="0.2">
      <c r="F400" s="421">
        <v>16947</v>
      </c>
      <c r="G400" s="421" t="s">
        <v>1223</v>
      </c>
    </row>
    <row r="401" spans="6:7" x14ac:dyDescent="0.2">
      <c r="F401" s="421">
        <v>16949</v>
      </c>
      <c r="G401" s="421" t="s">
        <v>1222</v>
      </c>
    </row>
    <row r="402" spans="6:7" x14ac:dyDescent="0.2">
      <c r="F402" s="421">
        <v>16950</v>
      </c>
      <c r="G402" s="421" t="s">
        <v>1221</v>
      </c>
    </row>
    <row r="403" spans="6:7" x14ac:dyDescent="0.2">
      <c r="F403" s="421">
        <v>16952</v>
      </c>
      <c r="G403" s="421" t="s">
        <v>1220</v>
      </c>
    </row>
    <row r="404" spans="6:7" x14ac:dyDescent="0.2">
      <c r="F404" s="421">
        <v>16955</v>
      </c>
      <c r="G404" s="421" t="s">
        <v>1219</v>
      </c>
    </row>
    <row r="405" spans="6:7" x14ac:dyDescent="0.2">
      <c r="F405" s="421">
        <v>16958</v>
      </c>
      <c r="G405" s="421" t="s">
        <v>1218</v>
      </c>
    </row>
    <row r="406" spans="6:7" x14ac:dyDescent="0.2">
      <c r="F406" s="421">
        <v>16962</v>
      </c>
      <c r="G406" s="421" t="s">
        <v>1217</v>
      </c>
    </row>
    <row r="407" spans="6:7" x14ac:dyDescent="0.2">
      <c r="F407" s="421">
        <v>16964</v>
      </c>
      <c r="G407" s="421" t="s">
        <v>1666</v>
      </c>
    </row>
    <row r="408" spans="6:7" x14ac:dyDescent="0.2">
      <c r="F408" s="421">
        <v>16965</v>
      </c>
      <c r="G408" s="421" t="s">
        <v>1216</v>
      </c>
    </row>
    <row r="409" spans="6:7" x14ac:dyDescent="0.2">
      <c r="F409" s="421">
        <v>16971</v>
      </c>
      <c r="G409" s="421" t="s">
        <v>1215</v>
      </c>
    </row>
    <row r="410" spans="6:7" x14ac:dyDescent="0.2">
      <c r="F410" s="421">
        <v>16973</v>
      </c>
      <c r="G410" s="421" t="s">
        <v>1214</v>
      </c>
    </row>
    <row r="411" spans="6:7" x14ac:dyDescent="0.2">
      <c r="F411" s="421">
        <v>16975</v>
      </c>
      <c r="G411" s="421" t="s">
        <v>1213</v>
      </c>
    </row>
    <row r="412" spans="6:7" x14ac:dyDescent="0.2">
      <c r="F412" s="421">
        <v>16978</v>
      </c>
      <c r="G412" s="421" t="s">
        <v>1212</v>
      </c>
    </row>
    <row r="413" spans="6:7" x14ac:dyDescent="0.2">
      <c r="F413" s="421">
        <v>16987</v>
      </c>
      <c r="G413" s="421" t="s">
        <v>1211</v>
      </c>
    </row>
    <row r="414" spans="6:7" x14ac:dyDescent="0.2">
      <c r="F414" s="421">
        <v>17006</v>
      </c>
      <c r="G414" s="421" t="s">
        <v>1667</v>
      </c>
    </row>
    <row r="415" spans="6:7" x14ac:dyDescent="0.2">
      <c r="F415" s="421">
        <v>17049</v>
      </c>
      <c r="G415" s="421" t="s">
        <v>3249</v>
      </c>
    </row>
    <row r="416" spans="6:7" x14ac:dyDescent="0.2">
      <c r="F416" s="421">
        <v>17055</v>
      </c>
      <c r="G416" s="421" t="s">
        <v>1210</v>
      </c>
    </row>
    <row r="417" spans="6:7" x14ac:dyDescent="0.2">
      <c r="F417" s="421">
        <v>17069</v>
      </c>
      <c r="G417" s="421" t="s">
        <v>1209</v>
      </c>
    </row>
    <row r="418" spans="6:7" x14ac:dyDescent="0.2">
      <c r="F418" s="421">
        <v>17079</v>
      </c>
      <c r="G418" s="421" t="s">
        <v>1208</v>
      </c>
    </row>
    <row r="419" spans="6:7" x14ac:dyDescent="0.2">
      <c r="F419" s="421">
        <v>17083</v>
      </c>
      <c r="G419" s="421" t="s">
        <v>1207</v>
      </c>
    </row>
    <row r="420" spans="6:7" x14ac:dyDescent="0.2">
      <c r="F420" s="421">
        <v>17097</v>
      </c>
      <c r="G420" s="421" t="s">
        <v>1206</v>
      </c>
    </row>
    <row r="421" spans="6:7" x14ac:dyDescent="0.2">
      <c r="F421" s="421">
        <v>17100</v>
      </c>
      <c r="G421" s="421" t="s">
        <v>1205</v>
      </c>
    </row>
    <row r="422" spans="6:7" x14ac:dyDescent="0.2">
      <c r="F422" s="421">
        <v>17110</v>
      </c>
      <c r="G422" s="421" t="s">
        <v>1668</v>
      </c>
    </row>
    <row r="423" spans="6:7" x14ac:dyDescent="0.2">
      <c r="F423" s="421">
        <v>17117</v>
      </c>
      <c r="G423" s="421" t="s">
        <v>1669</v>
      </c>
    </row>
    <row r="424" spans="6:7" x14ac:dyDescent="0.2">
      <c r="F424" s="421">
        <v>17120</v>
      </c>
      <c r="G424" s="421" t="s">
        <v>1204</v>
      </c>
    </row>
    <row r="425" spans="6:7" x14ac:dyDescent="0.2">
      <c r="F425" s="421">
        <v>17123</v>
      </c>
      <c r="G425" s="421" t="s">
        <v>1203</v>
      </c>
    </row>
    <row r="426" spans="6:7" x14ac:dyDescent="0.2">
      <c r="F426" s="421">
        <v>17126</v>
      </c>
      <c r="G426" s="421" t="s">
        <v>1202</v>
      </c>
    </row>
    <row r="427" spans="6:7" x14ac:dyDescent="0.2">
      <c r="F427" s="421">
        <v>17134</v>
      </c>
      <c r="G427" s="421" t="s">
        <v>1201</v>
      </c>
    </row>
    <row r="428" spans="6:7" x14ac:dyDescent="0.2">
      <c r="F428" s="421">
        <v>17138</v>
      </c>
      <c r="G428" s="421" t="s">
        <v>1200</v>
      </c>
    </row>
    <row r="429" spans="6:7" x14ac:dyDescent="0.2">
      <c r="F429" s="421">
        <v>17139</v>
      </c>
      <c r="G429" s="421" t="s">
        <v>2674</v>
      </c>
    </row>
    <row r="430" spans="6:7" x14ac:dyDescent="0.2">
      <c r="F430" s="421">
        <v>17146</v>
      </c>
      <c r="G430" s="421" t="s">
        <v>1199</v>
      </c>
    </row>
    <row r="431" spans="6:7" x14ac:dyDescent="0.2">
      <c r="F431" s="421">
        <v>17151</v>
      </c>
      <c r="G431" s="421" t="s">
        <v>1670</v>
      </c>
    </row>
    <row r="432" spans="6:7" x14ac:dyDescent="0.2">
      <c r="F432" s="421">
        <v>17152</v>
      </c>
      <c r="G432" s="421" t="s">
        <v>1671</v>
      </c>
    </row>
    <row r="433" spans="6:7" x14ac:dyDescent="0.2">
      <c r="F433" s="421">
        <v>17159</v>
      </c>
      <c r="G433" s="421" t="s">
        <v>1198</v>
      </c>
    </row>
    <row r="434" spans="6:7" x14ac:dyDescent="0.2">
      <c r="F434" s="421">
        <v>17160</v>
      </c>
      <c r="G434" s="421" t="s">
        <v>1672</v>
      </c>
    </row>
    <row r="435" spans="6:7" x14ac:dyDescent="0.2">
      <c r="F435" s="421">
        <v>17168</v>
      </c>
      <c r="G435" s="421" t="s">
        <v>1197</v>
      </c>
    </row>
    <row r="436" spans="6:7" x14ac:dyDescent="0.2">
      <c r="F436" s="421">
        <v>17169</v>
      </c>
      <c r="G436" s="421" t="s">
        <v>1196</v>
      </c>
    </row>
    <row r="437" spans="6:7" x14ac:dyDescent="0.2">
      <c r="F437" s="421">
        <v>17175</v>
      </c>
      <c r="G437" s="421" t="s">
        <v>2675</v>
      </c>
    </row>
    <row r="438" spans="6:7" x14ac:dyDescent="0.2">
      <c r="F438" s="421">
        <v>17183</v>
      </c>
      <c r="G438" s="421" t="s">
        <v>1195</v>
      </c>
    </row>
    <row r="439" spans="6:7" x14ac:dyDescent="0.2">
      <c r="F439" s="421">
        <v>17184</v>
      </c>
      <c r="G439" s="421" t="s">
        <v>1194</v>
      </c>
    </row>
    <row r="440" spans="6:7" x14ac:dyDescent="0.2">
      <c r="F440" s="421">
        <v>17185</v>
      </c>
      <c r="G440" s="421" t="s">
        <v>1193</v>
      </c>
    </row>
    <row r="441" spans="6:7" x14ac:dyDescent="0.2">
      <c r="F441" s="421">
        <v>17190</v>
      </c>
      <c r="G441" s="421" t="s">
        <v>1673</v>
      </c>
    </row>
    <row r="442" spans="6:7" x14ac:dyDescent="0.2">
      <c r="F442" s="421">
        <v>17193</v>
      </c>
      <c r="G442" s="421" t="s">
        <v>3250</v>
      </c>
    </row>
    <row r="443" spans="6:7" x14ac:dyDescent="0.2">
      <c r="F443" s="421">
        <v>17198</v>
      </c>
      <c r="G443" s="421" t="s">
        <v>1192</v>
      </c>
    </row>
    <row r="444" spans="6:7" x14ac:dyDescent="0.2">
      <c r="F444" s="421">
        <v>17199</v>
      </c>
      <c r="G444" s="421" t="s">
        <v>3251</v>
      </c>
    </row>
    <row r="445" spans="6:7" x14ac:dyDescent="0.2">
      <c r="F445" s="421">
        <v>17209</v>
      </c>
      <c r="G445" s="421" t="s">
        <v>1191</v>
      </c>
    </row>
    <row r="446" spans="6:7" x14ac:dyDescent="0.2">
      <c r="F446" s="421">
        <v>17217</v>
      </c>
      <c r="G446" s="421" t="s">
        <v>3252</v>
      </c>
    </row>
    <row r="447" spans="6:7" x14ac:dyDescent="0.2">
      <c r="F447" s="421">
        <v>17229</v>
      </c>
      <c r="G447" s="421" t="s">
        <v>1674</v>
      </c>
    </row>
    <row r="448" spans="6:7" x14ac:dyDescent="0.2">
      <c r="F448" s="421">
        <v>17231</v>
      </c>
      <c r="G448" s="421" t="s">
        <v>1190</v>
      </c>
    </row>
    <row r="449" spans="6:7" x14ac:dyDescent="0.2">
      <c r="F449" s="421">
        <v>17232</v>
      </c>
      <c r="G449" s="421" t="s">
        <v>1189</v>
      </c>
    </row>
    <row r="450" spans="6:7" x14ac:dyDescent="0.2">
      <c r="F450" s="421">
        <v>17233</v>
      </c>
      <c r="G450" s="421" t="s">
        <v>1188</v>
      </c>
    </row>
    <row r="451" spans="6:7" x14ac:dyDescent="0.2">
      <c r="F451" s="421">
        <v>17235</v>
      </c>
      <c r="G451" s="421" t="s">
        <v>1187</v>
      </c>
    </row>
    <row r="452" spans="6:7" x14ac:dyDescent="0.2">
      <c r="F452" s="421">
        <v>17241</v>
      </c>
      <c r="G452" s="421" t="s">
        <v>1186</v>
      </c>
    </row>
    <row r="453" spans="6:7" x14ac:dyDescent="0.2">
      <c r="F453" s="421">
        <v>17244</v>
      </c>
      <c r="G453" s="421" t="s">
        <v>1185</v>
      </c>
    </row>
    <row r="454" spans="6:7" x14ac:dyDescent="0.2">
      <c r="F454" s="421">
        <v>17255</v>
      </c>
      <c r="G454" s="421" t="s">
        <v>1184</v>
      </c>
    </row>
    <row r="455" spans="6:7" x14ac:dyDescent="0.2">
      <c r="F455" s="421">
        <v>17268</v>
      </c>
      <c r="G455" s="421" t="s">
        <v>1183</v>
      </c>
    </row>
    <row r="456" spans="6:7" x14ac:dyDescent="0.2">
      <c r="F456" s="421">
        <v>17287</v>
      </c>
      <c r="G456" s="421" t="s">
        <v>3253</v>
      </c>
    </row>
    <row r="457" spans="6:7" x14ac:dyDescent="0.2">
      <c r="F457" s="421">
        <v>17297</v>
      </c>
      <c r="G457" s="421" t="s">
        <v>1182</v>
      </c>
    </row>
    <row r="458" spans="6:7" x14ac:dyDescent="0.2">
      <c r="F458" s="421">
        <v>17312</v>
      </c>
      <c r="G458" s="421" t="s">
        <v>1181</v>
      </c>
    </row>
    <row r="459" spans="6:7" x14ac:dyDescent="0.2">
      <c r="F459" s="421">
        <v>17321</v>
      </c>
      <c r="G459" s="421" t="s">
        <v>1180</v>
      </c>
    </row>
    <row r="460" spans="6:7" x14ac:dyDescent="0.2">
      <c r="F460" s="421">
        <v>17337</v>
      </c>
      <c r="G460" s="421" t="s">
        <v>3254</v>
      </c>
    </row>
    <row r="461" spans="6:7" x14ac:dyDescent="0.2">
      <c r="F461" s="421">
        <v>17340</v>
      </c>
      <c r="G461" s="421" t="s">
        <v>1179</v>
      </c>
    </row>
    <row r="462" spans="6:7" x14ac:dyDescent="0.2">
      <c r="F462" s="421">
        <v>17351</v>
      </c>
      <c r="G462" s="421" t="s">
        <v>3255</v>
      </c>
    </row>
    <row r="463" spans="6:7" x14ac:dyDescent="0.2">
      <c r="F463" s="421">
        <v>17355</v>
      </c>
      <c r="G463" s="421" t="s">
        <v>1178</v>
      </c>
    </row>
    <row r="464" spans="6:7" x14ac:dyDescent="0.2">
      <c r="F464" s="421">
        <v>17357</v>
      </c>
      <c r="G464" s="421" t="s">
        <v>1177</v>
      </c>
    </row>
    <row r="465" spans="6:7" x14ac:dyDescent="0.2">
      <c r="F465" s="421">
        <v>17362</v>
      </c>
      <c r="G465" s="421" t="s">
        <v>1176</v>
      </c>
    </row>
    <row r="466" spans="6:7" x14ac:dyDescent="0.2">
      <c r="F466" s="421">
        <v>17363</v>
      </c>
      <c r="G466" s="421" t="s">
        <v>1175</v>
      </c>
    </row>
    <row r="467" spans="6:7" x14ac:dyDescent="0.2">
      <c r="F467" s="421">
        <v>17364</v>
      </c>
      <c r="G467" s="421" t="s">
        <v>1174</v>
      </c>
    </row>
    <row r="468" spans="6:7" x14ac:dyDescent="0.2">
      <c r="F468" s="421">
        <v>17366</v>
      </c>
      <c r="G468" s="421" t="s">
        <v>1675</v>
      </c>
    </row>
    <row r="469" spans="6:7" x14ac:dyDescent="0.2">
      <c r="F469" s="421">
        <v>17368</v>
      </c>
      <c r="G469" s="421" t="s">
        <v>1676</v>
      </c>
    </row>
    <row r="470" spans="6:7" x14ac:dyDescent="0.2">
      <c r="F470" s="421">
        <v>17369</v>
      </c>
      <c r="G470" s="421" t="s">
        <v>1173</v>
      </c>
    </row>
    <row r="471" spans="6:7" x14ac:dyDescent="0.2">
      <c r="F471" s="421">
        <v>17370</v>
      </c>
      <c r="G471" s="421" t="s">
        <v>1172</v>
      </c>
    </row>
    <row r="472" spans="6:7" x14ac:dyDescent="0.2">
      <c r="F472" s="421">
        <v>17372</v>
      </c>
      <c r="G472" s="421" t="s">
        <v>1171</v>
      </c>
    </row>
    <row r="473" spans="6:7" x14ac:dyDescent="0.2">
      <c r="F473" s="421">
        <v>17373</v>
      </c>
      <c r="G473" s="421" t="s">
        <v>1170</v>
      </c>
    </row>
    <row r="474" spans="6:7" x14ac:dyDescent="0.2">
      <c r="F474" s="421">
        <v>17374</v>
      </c>
      <c r="G474" s="421" t="s">
        <v>1169</v>
      </c>
    </row>
    <row r="475" spans="6:7" x14ac:dyDescent="0.2">
      <c r="F475" s="421">
        <v>17375</v>
      </c>
      <c r="G475" s="421" t="s">
        <v>2676</v>
      </c>
    </row>
    <row r="476" spans="6:7" x14ac:dyDescent="0.2">
      <c r="F476" s="421">
        <v>17376</v>
      </c>
      <c r="G476" s="421" t="s">
        <v>1168</v>
      </c>
    </row>
    <row r="477" spans="6:7" x14ac:dyDescent="0.2">
      <c r="F477" s="421">
        <v>17379</v>
      </c>
      <c r="G477" s="421" t="s">
        <v>1167</v>
      </c>
    </row>
    <row r="478" spans="6:7" x14ac:dyDescent="0.2">
      <c r="F478" s="421">
        <v>17380</v>
      </c>
      <c r="G478" s="421" t="s">
        <v>2677</v>
      </c>
    </row>
    <row r="479" spans="6:7" x14ac:dyDescent="0.2">
      <c r="F479" s="421">
        <v>17381</v>
      </c>
      <c r="G479" s="421" t="s">
        <v>3066</v>
      </c>
    </row>
    <row r="480" spans="6:7" x14ac:dyDescent="0.2">
      <c r="F480" s="421">
        <v>17383</v>
      </c>
      <c r="G480" s="421" t="s">
        <v>1166</v>
      </c>
    </row>
    <row r="481" spans="6:7" x14ac:dyDescent="0.2">
      <c r="F481" s="421">
        <v>17386</v>
      </c>
      <c r="G481" s="421" t="s">
        <v>1165</v>
      </c>
    </row>
    <row r="482" spans="6:7" x14ac:dyDescent="0.2">
      <c r="F482" s="421">
        <v>17388</v>
      </c>
      <c r="G482" s="421" t="s">
        <v>1164</v>
      </c>
    </row>
    <row r="483" spans="6:7" x14ac:dyDescent="0.2">
      <c r="F483" s="421">
        <v>17394</v>
      </c>
      <c r="G483" s="421" t="s">
        <v>1163</v>
      </c>
    </row>
    <row r="484" spans="6:7" x14ac:dyDescent="0.2">
      <c r="F484" s="421">
        <v>17396</v>
      </c>
      <c r="G484" s="421" t="s">
        <v>1162</v>
      </c>
    </row>
    <row r="485" spans="6:7" x14ac:dyDescent="0.2">
      <c r="F485" s="421">
        <v>17397</v>
      </c>
      <c r="G485" s="421" t="s">
        <v>1161</v>
      </c>
    </row>
    <row r="486" spans="6:7" x14ac:dyDescent="0.2">
      <c r="F486" s="421">
        <v>17399</v>
      </c>
      <c r="G486" s="421" t="s">
        <v>1160</v>
      </c>
    </row>
    <row r="487" spans="6:7" x14ac:dyDescent="0.2">
      <c r="F487" s="421">
        <v>17400</v>
      </c>
      <c r="G487" s="421" t="s">
        <v>1159</v>
      </c>
    </row>
    <row r="488" spans="6:7" x14ac:dyDescent="0.2">
      <c r="F488" s="421">
        <v>17402</v>
      </c>
      <c r="G488" s="421" t="s">
        <v>1158</v>
      </c>
    </row>
    <row r="489" spans="6:7" x14ac:dyDescent="0.2">
      <c r="F489" s="421">
        <v>17403</v>
      </c>
      <c r="G489" s="421" t="s">
        <v>1157</v>
      </c>
    </row>
    <row r="490" spans="6:7" x14ac:dyDescent="0.2">
      <c r="F490" s="421">
        <v>17407</v>
      </c>
      <c r="G490" s="421" t="s">
        <v>1677</v>
      </c>
    </row>
    <row r="491" spans="6:7" x14ac:dyDescent="0.2">
      <c r="F491" s="421">
        <v>17410</v>
      </c>
      <c r="G491" s="421" t="s">
        <v>1156</v>
      </c>
    </row>
    <row r="492" spans="6:7" x14ac:dyDescent="0.2">
      <c r="F492" s="421">
        <v>17414</v>
      </c>
      <c r="G492" s="421" t="s">
        <v>1155</v>
      </c>
    </row>
    <row r="493" spans="6:7" x14ac:dyDescent="0.2">
      <c r="F493" s="421">
        <v>17415</v>
      </c>
      <c r="G493" s="421" t="s">
        <v>1154</v>
      </c>
    </row>
    <row r="494" spans="6:7" x14ac:dyDescent="0.2">
      <c r="F494" s="421">
        <v>17416</v>
      </c>
      <c r="G494" s="421" t="s">
        <v>1153</v>
      </c>
    </row>
    <row r="495" spans="6:7" x14ac:dyDescent="0.2">
      <c r="F495" s="421">
        <v>17422</v>
      </c>
      <c r="G495" s="421" t="s">
        <v>1152</v>
      </c>
    </row>
    <row r="496" spans="6:7" x14ac:dyDescent="0.2">
      <c r="F496" s="421">
        <v>17423</v>
      </c>
      <c r="G496" s="421" t="s">
        <v>1151</v>
      </c>
    </row>
    <row r="497" spans="6:7" x14ac:dyDescent="0.2">
      <c r="F497" s="421">
        <v>17424</v>
      </c>
      <c r="G497" s="421" t="s">
        <v>1150</v>
      </c>
    </row>
    <row r="498" spans="6:7" x14ac:dyDescent="0.2">
      <c r="F498" s="421">
        <v>17426</v>
      </c>
      <c r="G498" s="421" t="s">
        <v>1149</v>
      </c>
    </row>
    <row r="499" spans="6:7" x14ac:dyDescent="0.2">
      <c r="F499" s="421">
        <v>17427</v>
      </c>
      <c r="G499" s="421" t="s">
        <v>1148</v>
      </c>
    </row>
    <row r="500" spans="6:7" x14ac:dyDescent="0.2">
      <c r="F500" s="421">
        <v>17428</v>
      </c>
      <c r="G500" s="421" t="s">
        <v>1678</v>
      </c>
    </row>
    <row r="501" spans="6:7" x14ac:dyDescent="0.2">
      <c r="F501" s="421">
        <v>17429</v>
      </c>
      <c r="G501" s="421" t="s">
        <v>1147</v>
      </c>
    </row>
    <row r="502" spans="6:7" x14ac:dyDescent="0.2">
      <c r="F502" s="421">
        <v>17430</v>
      </c>
      <c r="G502" s="421" t="s">
        <v>2678</v>
      </c>
    </row>
    <row r="503" spans="6:7" x14ac:dyDescent="0.2">
      <c r="F503" s="421">
        <v>17431</v>
      </c>
      <c r="G503" s="421" t="s">
        <v>1146</v>
      </c>
    </row>
    <row r="504" spans="6:7" x14ac:dyDescent="0.2">
      <c r="F504" s="421">
        <v>17432</v>
      </c>
      <c r="G504" s="421" t="s">
        <v>3256</v>
      </c>
    </row>
    <row r="505" spans="6:7" x14ac:dyDescent="0.2">
      <c r="F505" s="421">
        <v>17434</v>
      </c>
      <c r="G505" s="421" t="s">
        <v>2679</v>
      </c>
    </row>
    <row r="506" spans="6:7" x14ac:dyDescent="0.2">
      <c r="F506" s="421">
        <v>17435</v>
      </c>
      <c r="G506" s="421" t="s">
        <v>1145</v>
      </c>
    </row>
    <row r="507" spans="6:7" x14ac:dyDescent="0.2">
      <c r="F507" s="421">
        <v>17436</v>
      </c>
      <c r="G507" s="421" t="s">
        <v>1144</v>
      </c>
    </row>
    <row r="508" spans="6:7" x14ac:dyDescent="0.2">
      <c r="F508" s="421">
        <v>17437</v>
      </c>
      <c r="G508" s="421" t="s">
        <v>1679</v>
      </c>
    </row>
    <row r="509" spans="6:7" x14ac:dyDescent="0.2">
      <c r="F509" s="421">
        <v>17438</v>
      </c>
      <c r="G509" s="421" t="s">
        <v>2680</v>
      </c>
    </row>
    <row r="510" spans="6:7" x14ac:dyDescent="0.2">
      <c r="F510" s="421">
        <v>17440</v>
      </c>
      <c r="G510" s="421" t="s">
        <v>2681</v>
      </c>
    </row>
    <row r="511" spans="6:7" x14ac:dyDescent="0.2">
      <c r="F511" s="421">
        <v>17442</v>
      </c>
      <c r="G511" s="421" t="s">
        <v>1680</v>
      </c>
    </row>
    <row r="512" spans="6:7" x14ac:dyDescent="0.2">
      <c r="F512" s="421">
        <v>17446</v>
      </c>
      <c r="G512" s="421" t="s">
        <v>2682</v>
      </c>
    </row>
    <row r="513" spans="6:7" x14ac:dyDescent="0.2">
      <c r="F513" s="421">
        <v>17448</v>
      </c>
      <c r="G513" s="421" t="s">
        <v>1143</v>
      </c>
    </row>
    <row r="514" spans="6:7" x14ac:dyDescent="0.2">
      <c r="F514" s="421">
        <v>17449</v>
      </c>
      <c r="G514" s="421" t="s">
        <v>1142</v>
      </c>
    </row>
    <row r="515" spans="6:7" x14ac:dyDescent="0.2">
      <c r="F515" s="421">
        <v>17451</v>
      </c>
      <c r="G515" s="421" t="s">
        <v>1141</v>
      </c>
    </row>
    <row r="516" spans="6:7" x14ac:dyDescent="0.2">
      <c r="F516" s="421">
        <v>17452</v>
      </c>
      <c r="G516" s="421" t="s">
        <v>1140</v>
      </c>
    </row>
    <row r="517" spans="6:7" x14ac:dyDescent="0.2">
      <c r="F517" s="421">
        <v>17454</v>
      </c>
      <c r="G517" s="421" t="s">
        <v>2683</v>
      </c>
    </row>
    <row r="518" spans="6:7" x14ac:dyDescent="0.2">
      <c r="F518" s="421">
        <v>17455</v>
      </c>
      <c r="G518" s="421" t="s">
        <v>3257</v>
      </c>
    </row>
    <row r="519" spans="6:7" x14ac:dyDescent="0.2">
      <c r="F519" s="421">
        <v>17459</v>
      </c>
      <c r="G519" s="421" t="s">
        <v>1139</v>
      </c>
    </row>
    <row r="520" spans="6:7" x14ac:dyDescent="0.2">
      <c r="F520" s="421">
        <v>17460</v>
      </c>
      <c r="G520" s="421" t="s">
        <v>1138</v>
      </c>
    </row>
    <row r="521" spans="6:7" x14ac:dyDescent="0.2">
      <c r="F521" s="421">
        <v>17466</v>
      </c>
      <c r="G521" s="421" t="s">
        <v>3258</v>
      </c>
    </row>
    <row r="522" spans="6:7" x14ac:dyDescent="0.2">
      <c r="F522" s="421">
        <v>17467</v>
      </c>
      <c r="G522" s="421" t="s">
        <v>1681</v>
      </c>
    </row>
    <row r="523" spans="6:7" x14ac:dyDescent="0.2">
      <c r="F523" s="421">
        <v>17470</v>
      </c>
      <c r="G523" s="421" t="s">
        <v>3259</v>
      </c>
    </row>
    <row r="524" spans="6:7" x14ac:dyDescent="0.2">
      <c r="F524" s="421">
        <v>17471</v>
      </c>
      <c r="G524" s="421" t="s">
        <v>3260</v>
      </c>
    </row>
    <row r="525" spans="6:7" x14ac:dyDescent="0.2">
      <c r="F525" s="421">
        <v>17472</v>
      </c>
      <c r="G525" s="421" t="s">
        <v>1137</v>
      </c>
    </row>
    <row r="526" spans="6:7" x14ac:dyDescent="0.2">
      <c r="F526" s="421">
        <v>17473</v>
      </c>
      <c r="G526" s="421" t="s">
        <v>1136</v>
      </c>
    </row>
    <row r="527" spans="6:7" x14ac:dyDescent="0.2">
      <c r="F527" s="421">
        <v>17484</v>
      </c>
      <c r="G527" s="421" t="s">
        <v>2684</v>
      </c>
    </row>
    <row r="528" spans="6:7" x14ac:dyDescent="0.2">
      <c r="F528" s="421">
        <v>17488</v>
      </c>
      <c r="G528" s="421" t="s">
        <v>3261</v>
      </c>
    </row>
    <row r="529" spans="6:7" x14ac:dyDescent="0.2">
      <c r="F529" s="421">
        <v>17489</v>
      </c>
      <c r="G529" s="421" t="s">
        <v>2685</v>
      </c>
    </row>
    <row r="530" spans="6:7" x14ac:dyDescent="0.2">
      <c r="F530" s="421">
        <v>17490</v>
      </c>
      <c r="G530" s="421" t="s">
        <v>3262</v>
      </c>
    </row>
    <row r="531" spans="6:7" x14ac:dyDescent="0.2">
      <c r="F531" s="421">
        <v>17493</v>
      </c>
      <c r="G531" s="421" t="s">
        <v>1135</v>
      </c>
    </row>
    <row r="532" spans="6:7" x14ac:dyDescent="0.2">
      <c r="F532" s="421">
        <v>17497</v>
      </c>
      <c r="G532" s="421" t="s">
        <v>1134</v>
      </c>
    </row>
    <row r="533" spans="6:7" x14ac:dyDescent="0.2">
      <c r="F533" s="421">
        <v>17498</v>
      </c>
      <c r="G533" s="421" t="s">
        <v>1133</v>
      </c>
    </row>
    <row r="534" spans="6:7" x14ac:dyDescent="0.2">
      <c r="F534" s="421">
        <v>17499</v>
      </c>
      <c r="G534" s="421" t="s">
        <v>1132</v>
      </c>
    </row>
    <row r="535" spans="6:7" x14ac:dyDescent="0.2">
      <c r="F535" s="421">
        <v>17500</v>
      </c>
      <c r="G535" s="421" t="s">
        <v>1131</v>
      </c>
    </row>
    <row r="536" spans="6:7" x14ac:dyDescent="0.2">
      <c r="F536" s="421">
        <v>17501</v>
      </c>
      <c r="G536" s="421" t="s">
        <v>1130</v>
      </c>
    </row>
    <row r="537" spans="6:7" x14ac:dyDescent="0.2">
      <c r="F537" s="421">
        <v>17502</v>
      </c>
      <c r="G537" s="421" t="s">
        <v>1682</v>
      </c>
    </row>
    <row r="538" spans="6:7" x14ac:dyDescent="0.2">
      <c r="F538" s="421">
        <v>17506</v>
      </c>
      <c r="G538" s="421" t="s">
        <v>1129</v>
      </c>
    </row>
    <row r="539" spans="6:7" x14ac:dyDescent="0.2">
      <c r="F539" s="421">
        <v>17508</v>
      </c>
      <c r="G539" s="421" t="s">
        <v>1128</v>
      </c>
    </row>
    <row r="540" spans="6:7" x14ac:dyDescent="0.2">
      <c r="F540" s="421">
        <v>17515</v>
      </c>
      <c r="G540" s="421" t="s">
        <v>1127</v>
      </c>
    </row>
    <row r="541" spans="6:7" x14ac:dyDescent="0.2">
      <c r="F541" s="421">
        <v>17522</v>
      </c>
      <c r="G541" s="421" t="s">
        <v>1126</v>
      </c>
    </row>
    <row r="542" spans="6:7" x14ac:dyDescent="0.2">
      <c r="F542" s="421">
        <v>17526</v>
      </c>
      <c r="G542" s="421" t="s">
        <v>1125</v>
      </c>
    </row>
    <row r="543" spans="6:7" x14ac:dyDescent="0.2">
      <c r="F543" s="421">
        <v>17527</v>
      </c>
      <c r="G543" s="421" t="s">
        <v>1683</v>
      </c>
    </row>
    <row r="544" spans="6:7" x14ac:dyDescent="0.2">
      <c r="F544" s="421">
        <v>17528</v>
      </c>
      <c r="G544" s="421" t="s">
        <v>2686</v>
      </c>
    </row>
    <row r="545" spans="6:7" x14ac:dyDescent="0.2">
      <c r="F545" s="421">
        <v>17531</v>
      </c>
      <c r="G545" s="421" t="s">
        <v>2687</v>
      </c>
    </row>
    <row r="546" spans="6:7" x14ac:dyDescent="0.2">
      <c r="F546" s="421">
        <v>17534</v>
      </c>
      <c r="G546" s="421" t="s">
        <v>1124</v>
      </c>
    </row>
    <row r="547" spans="6:7" x14ac:dyDescent="0.2">
      <c r="F547" s="421">
        <v>17535</v>
      </c>
      <c r="G547" s="421" t="s">
        <v>3263</v>
      </c>
    </row>
    <row r="548" spans="6:7" x14ac:dyDescent="0.2">
      <c r="F548" s="421">
        <v>17545</v>
      </c>
      <c r="G548" s="421" t="s">
        <v>1123</v>
      </c>
    </row>
    <row r="549" spans="6:7" x14ac:dyDescent="0.2">
      <c r="F549" s="421">
        <v>17562</v>
      </c>
      <c r="G549" s="421" t="s">
        <v>3264</v>
      </c>
    </row>
    <row r="550" spans="6:7" x14ac:dyDescent="0.2">
      <c r="F550" s="421">
        <v>17665</v>
      </c>
      <c r="G550" s="421" t="s">
        <v>1122</v>
      </c>
    </row>
    <row r="551" spans="6:7" x14ac:dyDescent="0.2">
      <c r="F551" s="421">
        <v>17673</v>
      </c>
      <c r="G551" s="421" t="s">
        <v>1121</v>
      </c>
    </row>
    <row r="552" spans="6:7" x14ac:dyDescent="0.2">
      <c r="F552" s="421">
        <v>17686</v>
      </c>
      <c r="G552" s="421" t="s">
        <v>1120</v>
      </c>
    </row>
    <row r="553" spans="6:7" x14ac:dyDescent="0.2">
      <c r="F553" s="421">
        <v>17696</v>
      </c>
      <c r="G553" s="421" t="s">
        <v>2688</v>
      </c>
    </row>
    <row r="554" spans="6:7" x14ac:dyDescent="0.2">
      <c r="F554" s="421">
        <v>17761</v>
      </c>
      <c r="G554" s="421" t="s">
        <v>3265</v>
      </c>
    </row>
    <row r="555" spans="6:7" x14ac:dyDescent="0.2">
      <c r="F555" s="421">
        <v>17831</v>
      </c>
      <c r="G555" s="421" t="s">
        <v>1119</v>
      </c>
    </row>
    <row r="556" spans="6:7" x14ac:dyDescent="0.2">
      <c r="F556" s="421">
        <v>17878</v>
      </c>
      <c r="G556" s="421" t="s">
        <v>3067</v>
      </c>
    </row>
    <row r="557" spans="6:7" x14ac:dyDescent="0.2">
      <c r="F557" s="421">
        <v>18149</v>
      </c>
      <c r="G557" s="421" t="s">
        <v>2689</v>
      </c>
    </row>
    <row r="558" spans="6:7" x14ac:dyDescent="0.2">
      <c r="F558" s="421">
        <v>18410</v>
      </c>
      <c r="G558" s="421" t="s">
        <v>1118</v>
      </c>
    </row>
    <row r="559" spans="6:7" x14ac:dyDescent="0.2">
      <c r="F559" s="421">
        <v>18541</v>
      </c>
      <c r="G559" s="421" t="s">
        <v>1684</v>
      </c>
    </row>
    <row r="560" spans="6:7" x14ac:dyDescent="0.2">
      <c r="F560" s="421">
        <v>18551</v>
      </c>
      <c r="G560" s="421" t="s">
        <v>1117</v>
      </c>
    </row>
    <row r="561" spans="6:7" x14ac:dyDescent="0.2">
      <c r="F561" s="421">
        <v>18580</v>
      </c>
      <c r="G561" s="421" t="s">
        <v>1116</v>
      </c>
    </row>
    <row r="562" spans="6:7" x14ac:dyDescent="0.2">
      <c r="F562" s="421">
        <v>18586</v>
      </c>
      <c r="G562" s="421" t="s">
        <v>1115</v>
      </c>
    </row>
    <row r="563" spans="6:7" x14ac:dyDescent="0.2">
      <c r="F563" s="421">
        <v>18590</v>
      </c>
      <c r="G563" s="421" t="s">
        <v>1114</v>
      </c>
    </row>
    <row r="564" spans="6:7" x14ac:dyDescent="0.2">
      <c r="F564" s="421">
        <v>18604</v>
      </c>
      <c r="G564" s="421" t="s">
        <v>1113</v>
      </c>
    </row>
    <row r="565" spans="6:7" x14ac:dyDescent="0.2">
      <c r="F565" s="421">
        <v>18625</v>
      </c>
      <c r="G565" s="421" t="s">
        <v>1112</v>
      </c>
    </row>
    <row r="566" spans="6:7" x14ac:dyDescent="0.2">
      <c r="F566" s="421">
        <v>18663</v>
      </c>
      <c r="G566" s="421" t="s">
        <v>1111</v>
      </c>
    </row>
    <row r="567" spans="6:7" x14ac:dyDescent="0.2">
      <c r="F567" s="421">
        <v>18679</v>
      </c>
      <c r="G567" s="421" t="s">
        <v>1110</v>
      </c>
    </row>
    <row r="568" spans="6:7" x14ac:dyDescent="0.2">
      <c r="F568" s="421">
        <v>18747</v>
      </c>
      <c r="G568" s="421" t="s">
        <v>1109</v>
      </c>
    </row>
    <row r="569" spans="6:7" x14ac:dyDescent="0.2">
      <c r="F569" s="421">
        <v>18756</v>
      </c>
      <c r="G569" s="421" t="s">
        <v>1108</v>
      </c>
    </row>
    <row r="570" spans="6:7" x14ac:dyDescent="0.2">
      <c r="F570" s="421">
        <v>18822</v>
      </c>
      <c r="G570" s="421" t="s">
        <v>1107</v>
      </c>
    </row>
    <row r="571" spans="6:7" x14ac:dyDescent="0.2">
      <c r="F571" s="421">
        <v>18864</v>
      </c>
      <c r="G571" s="421" t="s">
        <v>1106</v>
      </c>
    </row>
    <row r="572" spans="6:7" x14ac:dyDescent="0.2">
      <c r="F572" s="421">
        <v>18913</v>
      </c>
      <c r="G572" s="421" t="s">
        <v>1105</v>
      </c>
    </row>
    <row r="573" spans="6:7" x14ac:dyDescent="0.2">
      <c r="F573" s="421">
        <v>18915</v>
      </c>
      <c r="G573" s="421" t="s">
        <v>2690</v>
      </c>
    </row>
    <row r="574" spans="6:7" x14ac:dyDescent="0.2">
      <c r="F574" s="421">
        <v>19076</v>
      </c>
      <c r="G574" s="421" t="s">
        <v>1104</v>
      </c>
    </row>
    <row r="575" spans="6:7" x14ac:dyDescent="0.2">
      <c r="F575" s="421">
        <v>19187</v>
      </c>
      <c r="G575" s="421" t="s">
        <v>1103</v>
      </c>
    </row>
    <row r="576" spans="6:7" x14ac:dyDescent="0.2">
      <c r="F576" s="421">
        <v>19555</v>
      </c>
      <c r="G576" s="421" t="s">
        <v>1102</v>
      </c>
    </row>
    <row r="577" spans="6:7" x14ac:dyDescent="0.2">
      <c r="F577" s="421">
        <v>19617</v>
      </c>
      <c r="G577" s="421" t="s">
        <v>1101</v>
      </c>
    </row>
    <row r="578" spans="6:7" x14ac:dyDescent="0.2">
      <c r="F578" s="421">
        <v>19660</v>
      </c>
      <c r="G578" s="421" t="s">
        <v>3266</v>
      </c>
    </row>
    <row r="579" spans="6:7" x14ac:dyDescent="0.2">
      <c r="F579" s="421">
        <v>19742</v>
      </c>
      <c r="G579" s="421" t="s">
        <v>1100</v>
      </c>
    </row>
    <row r="580" spans="6:7" x14ac:dyDescent="0.2">
      <c r="F580" s="421">
        <v>19743</v>
      </c>
      <c r="G580" s="421" t="s">
        <v>1099</v>
      </c>
    </row>
    <row r="581" spans="6:7" x14ac:dyDescent="0.2">
      <c r="F581" s="421">
        <v>19751</v>
      </c>
      <c r="G581" s="421" t="s">
        <v>1098</v>
      </c>
    </row>
    <row r="582" spans="6:7" x14ac:dyDescent="0.2">
      <c r="F582" s="421">
        <v>19771</v>
      </c>
      <c r="G582" s="421" t="s">
        <v>1097</v>
      </c>
    </row>
    <row r="583" spans="6:7" x14ac:dyDescent="0.2">
      <c r="F583" s="421">
        <v>19775</v>
      </c>
      <c r="G583" s="421" t="s">
        <v>1096</v>
      </c>
    </row>
    <row r="584" spans="6:7" x14ac:dyDescent="0.2">
      <c r="F584" s="421">
        <v>19777</v>
      </c>
      <c r="G584" s="421" t="s">
        <v>1095</v>
      </c>
    </row>
    <row r="585" spans="6:7" x14ac:dyDescent="0.2">
      <c r="F585" s="421">
        <v>19779</v>
      </c>
      <c r="G585" s="421" t="s">
        <v>1094</v>
      </c>
    </row>
    <row r="586" spans="6:7" x14ac:dyDescent="0.2">
      <c r="F586" s="421">
        <v>19781</v>
      </c>
      <c r="G586" s="421" t="s">
        <v>1093</v>
      </c>
    </row>
    <row r="587" spans="6:7" x14ac:dyDescent="0.2">
      <c r="F587" s="421">
        <v>19795</v>
      </c>
      <c r="G587" s="421" t="s">
        <v>1092</v>
      </c>
    </row>
    <row r="588" spans="6:7" x14ac:dyDescent="0.2">
      <c r="F588" s="421">
        <v>19797</v>
      </c>
      <c r="G588" s="421" t="s">
        <v>3267</v>
      </c>
    </row>
    <row r="589" spans="6:7" x14ac:dyDescent="0.2">
      <c r="F589" s="421">
        <v>19802</v>
      </c>
      <c r="G589" s="421" t="s">
        <v>1091</v>
      </c>
    </row>
    <row r="590" spans="6:7" x14ac:dyDescent="0.2">
      <c r="F590" s="421">
        <v>19807</v>
      </c>
      <c r="G590" s="421" t="s">
        <v>1685</v>
      </c>
    </row>
    <row r="591" spans="6:7" x14ac:dyDescent="0.2">
      <c r="F591" s="421">
        <v>19809</v>
      </c>
      <c r="G591" s="421" t="s">
        <v>1090</v>
      </c>
    </row>
    <row r="592" spans="6:7" x14ac:dyDescent="0.2">
      <c r="F592" s="421">
        <v>19812</v>
      </c>
      <c r="G592" s="421" t="s">
        <v>1089</v>
      </c>
    </row>
    <row r="593" spans="6:7" x14ac:dyDescent="0.2">
      <c r="F593" s="421">
        <v>19815</v>
      </c>
      <c r="G593" s="421" t="s">
        <v>1088</v>
      </c>
    </row>
    <row r="594" spans="6:7" x14ac:dyDescent="0.2">
      <c r="F594" s="421">
        <v>19822</v>
      </c>
      <c r="G594" s="421" t="s">
        <v>2691</v>
      </c>
    </row>
    <row r="595" spans="6:7" x14ac:dyDescent="0.2">
      <c r="F595" s="421">
        <v>19823</v>
      </c>
      <c r="G595" s="421" t="s">
        <v>1087</v>
      </c>
    </row>
    <row r="596" spans="6:7" x14ac:dyDescent="0.2">
      <c r="F596" s="421">
        <v>19849</v>
      </c>
      <c r="G596" s="421" t="s">
        <v>1086</v>
      </c>
    </row>
    <row r="597" spans="6:7" x14ac:dyDescent="0.2">
      <c r="F597" s="421">
        <v>19851</v>
      </c>
      <c r="G597" s="421" t="s">
        <v>1085</v>
      </c>
    </row>
    <row r="598" spans="6:7" x14ac:dyDescent="0.2">
      <c r="F598" s="421">
        <v>19892</v>
      </c>
      <c r="G598" s="421" t="s">
        <v>1084</v>
      </c>
    </row>
    <row r="599" spans="6:7" x14ac:dyDescent="0.2">
      <c r="F599" s="421">
        <v>19902</v>
      </c>
      <c r="G599" s="421" t="s">
        <v>3268</v>
      </c>
    </row>
    <row r="600" spans="6:7" x14ac:dyDescent="0.2">
      <c r="F600" s="421">
        <v>19919</v>
      </c>
      <c r="G600" s="421" t="s">
        <v>1083</v>
      </c>
    </row>
    <row r="601" spans="6:7" x14ac:dyDescent="0.2">
      <c r="F601" s="421">
        <v>19952</v>
      </c>
      <c r="G601" s="421" t="s">
        <v>1082</v>
      </c>
    </row>
    <row r="602" spans="6:7" x14ac:dyDescent="0.2">
      <c r="F602" s="421">
        <v>19967</v>
      </c>
      <c r="G602" s="421" t="s">
        <v>3269</v>
      </c>
    </row>
    <row r="603" spans="6:7" x14ac:dyDescent="0.2">
      <c r="F603" s="421">
        <v>20010</v>
      </c>
      <c r="G603" s="421" t="s">
        <v>1081</v>
      </c>
    </row>
    <row r="604" spans="6:7" x14ac:dyDescent="0.2">
      <c r="F604" s="421">
        <v>20035</v>
      </c>
      <c r="G604" s="421" t="s">
        <v>1079</v>
      </c>
    </row>
    <row r="605" spans="6:7" x14ac:dyDescent="0.2">
      <c r="F605" s="421">
        <v>20074</v>
      </c>
      <c r="G605" s="421" t="s">
        <v>1078</v>
      </c>
    </row>
    <row r="606" spans="6:7" x14ac:dyDescent="0.2">
      <c r="F606" s="421">
        <v>20096</v>
      </c>
      <c r="G606" s="421" t="s">
        <v>1077</v>
      </c>
    </row>
    <row r="607" spans="6:7" x14ac:dyDescent="0.2">
      <c r="F607" s="421">
        <v>20136</v>
      </c>
      <c r="G607" s="421" t="s">
        <v>1076</v>
      </c>
    </row>
    <row r="608" spans="6:7" x14ac:dyDescent="0.2">
      <c r="F608" s="421">
        <v>20171</v>
      </c>
      <c r="G608" s="421" t="s">
        <v>1075</v>
      </c>
    </row>
    <row r="609" spans="6:7" x14ac:dyDescent="0.2">
      <c r="F609" s="421">
        <v>20219</v>
      </c>
      <c r="G609" s="421" t="s">
        <v>1074</v>
      </c>
    </row>
    <row r="610" spans="6:7" x14ac:dyDescent="0.2">
      <c r="F610" s="421">
        <v>20231</v>
      </c>
      <c r="G610" s="421" t="s">
        <v>1073</v>
      </c>
    </row>
    <row r="611" spans="6:7" x14ac:dyDescent="0.2">
      <c r="F611" s="421">
        <v>20288</v>
      </c>
      <c r="G611" s="421" t="s">
        <v>2692</v>
      </c>
    </row>
    <row r="612" spans="6:7" x14ac:dyDescent="0.2">
      <c r="F612" s="421">
        <v>20331</v>
      </c>
      <c r="G612" s="421" t="s">
        <v>1072</v>
      </c>
    </row>
    <row r="613" spans="6:7" x14ac:dyDescent="0.2">
      <c r="F613" s="421">
        <v>20605</v>
      </c>
      <c r="G613" s="421" t="s">
        <v>1071</v>
      </c>
    </row>
    <row r="614" spans="6:7" x14ac:dyDescent="0.2">
      <c r="F614" s="421">
        <v>20702</v>
      </c>
      <c r="G614" s="421" t="s">
        <v>1686</v>
      </c>
    </row>
    <row r="615" spans="6:7" x14ac:dyDescent="0.2">
      <c r="F615" s="421">
        <v>20736</v>
      </c>
      <c r="G615" s="421" t="s">
        <v>1687</v>
      </c>
    </row>
    <row r="616" spans="6:7" x14ac:dyDescent="0.2">
      <c r="F616" s="421">
        <v>20752</v>
      </c>
      <c r="G616" s="421" t="s">
        <v>3270</v>
      </c>
    </row>
    <row r="617" spans="6:7" x14ac:dyDescent="0.2">
      <c r="F617" s="421">
        <v>20831</v>
      </c>
      <c r="G617" s="421" t="s">
        <v>1070</v>
      </c>
    </row>
    <row r="618" spans="6:7" x14ac:dyDescent="0.2">
      <c r="F618" s="421">
        <v>20836</v>
      </c>
      <c r="G618" s="421" t="s">
        <v>1069</v>
      </c>
    </row>
    <row r="619" spans="6:7" x14ac:dyDescent="0.2">
      <c r="F619" s="421">
        <v>20952</v>
      </c>
      <c r="G619" s="421" t="s">
        <v>1068</v>
      </c>
    </row>
    <row r="620" spans="6:7" x14ac:dyDescent="0.2">
      <c r="F620" s="421">
        <v>21099</v>
      </c>
      <c r="G620" s="421" t="s">
        <v>1067</v>
      </c>
    </row>
    <row r="621" spans="6:7" x14ac:dyDescent="0.2">
      <c r="F621" s="421">
        <v>21108</v>
      </c>
      <c r="G621" s="421" t="s">
        <v>1066</v>
      </c>
    </row>
    <row r="622" spans="6:7" x14ac:dyDescent="0.2">
      <c r="F622" s="421">
        <v>21248</v>
      </c>
      <c r="G622" s="421" t="s">
        <v>1065</v>
      </c>
    </row>
    <row r="623" spans="6:7" x14ac:dyDescent="0.2">
      <c r="F623" s="421">
        <v>21373</v>
      </c>
      <c r="G623" s="421" t="s">
        <v>1063</v>
      </c>
    </row>
    <row r="624" spans="6:7" x14ac:dyDescent="0.2">
      <c r="F624" s="421">
        <v>21386</v>
      </c>
      <c r="G624" s="421" t="s">
        <v>1062</v>
      </c>
    </row>
    <row r="625" spans="6:7" x14ac:dyDescent="0.2">
      <c r="F625" s="421">
        <v>21387</v>
      </c>
      <c r="G625" s="421" t="s">
        <v>1061</v>
      </c>
    </row>
    <row r="626" spans="6:7" x14ac:dyDescent="0.2">
      <c r="F626" s="421">
        <v>21391</v>
      </c>
      <c r="G626" s="421" t="s">
        <v>1688</v>
      </c>
    </row>
    <row r="627" spans="6:7" x14ac:dyDescent="0.2">
      <c r="F627" s="421">
        <v>21401</v>
      </c>
      <c r="G627" s="421" t="s">
        <v>1060</v>
      </c>
    </row>
    <row r="628" spans="6:7" x14ac:dyDescent="0.2">
      <c r="F628" s="421">
        <v>21413</v>
      </c>
      <c r="G628" s="421" t="s">
        <v>1059</v>
      </c>
    </row>
    <row r="629" spans="6:7" x14ac:dyDescent="0.2">
      <c r="F629" s="421">
        <v>21422</v>
      </c>
      <c r="G629" s="421" t="s">
        <v>1058</v>
      </c>
    </row>
    <row r="630" spans="6:7" x14ac:dyDescent="0.2">
      <c r="F630" s="421">
        <v>21427</v>
      </c>
      <c r="G630" s="421" t="s">
        <v>1689</v>
      </c>
    </row>
    <row r="631" spans="6:7" x14ac:dyDescent="0.2">
      <c r="F631" s="421">
        <v>21428</v>
      </c>
      <c r="G631" s="421" t="s">
        <v>1057</v>
      </c>
    </row>
    <row r="632" spans="6:7" x14ac:dyDescent="0.2">
      <c r="F632" s="421">
        <v>21431</v>
      </c>
      <c r="G632" s="421" t="s">
        <v>1056</v>
      </c>
    </row>
    <row r="633" spans="6:7" x14ac:dyDescent="0.2">
      <c r="F633" s="421">
        <v>21432</v>
      </c>
      <c r="G633" s="421" t="s">
        <v>1055</v>
      </c>
    </row>
    <row r="634" spans="6:7" x14ac:dyDescent="0.2">
      <c r="F634" s="421">
        <v>21433</v>
      </c>
      <c r="G634" s="421" t="s">
        <v>1054</v>
      </c>
    </row>
    <row r="635" spans="6:7" x14ac:dyDescent="0.2">
      <c r="F635" s="421">
        <v>21438</v>
      </c>
      <c r="G635" s="421" t="s">
        <v>1053</v>
      </c>
    </row>
    <row r="636" spans="6:7" x14ac:dyDescent="0.2">
      <c r="F636" s="421">
        <v>21442</v>
      </c>
      <c r="G636" s="421" t="s">
        <v>3271</v>
      </c>
    </row>
    <row r="637" spans="6:7" x14ac:dyDescent="0.2">
      <c r="F637" s="421">
        <v>21445</v>
      </c>
      <c r="G637" s="421" t="s">
        <v>1052</v>
      </c>
    </row>
    <row r="638" spans="6:7" x14ac:dyDescent="0.2">
      <c r="F638" s="421">
        <v>21458</v>
      </c>
      <c r="G638" s="421" t="s">
        <v>1051</v>
      </c>
    </row>
    <row r="639" spans="6:7" x14ac:dyDescent="0.2">
      <c r="F639" s="421">
        <v>21460</v>
      </c>
      <c r="G639" s="421" t="s">
        <v>1690</v>
      </c>
    </row>
    <row r="640" spans="6:7" x14ac:dyDescent="0.2">
      <c r="F640" s="421">
        <v>21461</v>
      </c>
      <c r="G640" s="421" t="s">
        <v>1050</v>
      </c>
    </row>
    <row r="641" spans="6:7" x14ac:dyDescent="0.2">
      <c r="F641" s="421">
        <v>21464</v>
      </c>
      <c r="G641" s="421" t="s">
        <v>2693</v>
      </c>
    </row>
    <row r="642" spans="6:7" x14ac:dyDescent="0.2">
      <c r="F642" s="421">
        <v>21466</v>
      </c>
      <c r="G642" s="421" t="s">
        <v>1049</v>
      </c>
    </row>
    <row r="643" spans="6:7" x14ac:dyDescent="0.2">
      <c r="F643" s="421">
        <v>21470</v>
      </c>
      <c r="G643" s="421" t="s">
        <v>3272</v>
      </c>
    </row>
    <row r="644" spans="6:7" x14ac:dyDescent="0.2">
      <c r="F644" s="421">
        <v>21472</v>
      </c>
      <c r="G644" s="421" t="s">
        <v>1048</v>
      </c>
    </row>
    <row r="645" spans="6:7" x14ac:dyDescent="0.2">
      <c r="F645" s="421">
        <v>21473</v>
      </c>
      <c r="G645" s="421" t="s">
        <v>1047</v>
      </c>
    </row>
    <row r="646" spans="6:7" x14ac:dyDescent="0.2">
      <c r="F646" s="421">
        <v>21474</v>
      </c>
      <c r="G646" s="421" t="s">
        <v>1046</v>
      </c>
    </row>
    <row r="647" spans="6:7" x14ac:dyDescent="0.2">
      <c r="F647" s="421">
        <v>21476</v>
      </c>
      <c r="G647" s="421" t="s">
        <v>1045</v>
      </c>
    </row>
    <row r="648" spans="6:7" x14ac:dyDescent="0.2">
      <c r="F648" s="421">
        <v>21478</v>
      </c>
      <c r="G648" s="421" t="s">
        <v>1044</v>
      </c>
    </row>
    <row r="649" spans="6:7" x14ac:dyDescent="0.2">
      <c r="F649" s="421">
        <v>21479</v>
      </c>
      <c r="G649" s="421" t="s">
        <v>1043</v>
      </c>
    </row>
    <row r="650" spans="6:7" x14ac:dyDescent="0.2">
      <c r="F650" s="421">
        <v>21480</v>
      </c>
      <c r="G650" s="421" t="s">
        <v>1042</v>
      </c>
    </row>
    <row r="651" spans="6:7" x14ac:dyDescent="0.2">
      <c r="F651" s="421">
        <v>21485</v>
      </c>
      <c r="G651" s="421" t="s">
        <v>1041</v>
      </c>
    </row>
    <row r="652" spans="6:7" x14ac:dyDescent="0.2">
      <c r="F652" s="421">
        <v>21489</v>
      </c>
      <c r="G652" s="421" t="s">
        <v>1040</v>
      </c>
    </row>
    <row r="653" spans="6:7" x14ac:dyDescent="0.2">
      <c r="F653" s="421">
        <v>21494</v>
      </c>
      <c r="G653" s="421" t="s">
        <v>1039</v>
      </c>
    </row>
    <row r="654" spans="6:7" x14ac:dyDescent="0.2">
      <c r="F654" s="421">
        <v>21497</v>
      </c>
      <c r="G654" s="421" t="s">
        <v>1038</v>
      </c>
    </row>
    <row r="655" spans="6:7" x14ac:dyDescent="0.2">
      <c r="F655" s="421">
        <v>21500</v>
      </c>
      <c r="G655" s="421" t="s">
        <v>1691</v>
      </c>
    </row>
    <row r="656" spans="6:7" x14ac:dyDescent="0.2">
      <c r="F656" s="421">
        <v>21503</v>
      </c>
      <c r="G656" s="421" t="s">
        <v>1037</v>
      </c>
    </row>
    <row r="657" spans="6:7" x14ac:dyDescent="0.2">
      <c r="F657" s="421">
        <v>21504</v>
      </c>
      <c r="G657" s="421" t="s">
        <v>1036</v>
      </c>
    </row>
    <row r="658" spans="6:7" x14ac:dyDescent="0.2">
      <c r="F658" s="421">
        <v>21506</v>
      </c>
      <c r="G658" s="421" t="s">
        <v>1035</v>
      </c>
    </row>
    <row r="659" spans="6:7" x14ac:dyDescent="0.2">
      <c r="F659" s="421">
        <v>21507</v>
      </c>
      <c r="G659" s="421" t="s">
        <v>1034</v>
      </c>
    </row>
    <row r="660" spans="6:7" x14ac:dyDescent="0.2">
      <c r="F660" s="421">
        <v>21512</v>
      </c>
      <c r="G660" s="421" t="s">
        <v>1033</v>
      </c>
    </row>
    <row r="661" spans="6:7" x14ac:dyDescent="0.2">
      <c r="F661" s="421">
        <v>21513</v>
      </c>
      <c r="G661" s="421" t="s">
        <v>1032</v>
      </c>
    </row>
    <row r="662" spans="6:7" x14ac:dyDescent="0.2">
      <c r="F662" s="421">
        <v>21521</v>
      </c>
      <c r="G662" s="421" t="s">
        <v>1031</v>
      </c>
    </row>
    <row r="663" spans="6:7" x14ac:dyDescent="0.2">
      <c r="F663" s="421">
        <v>21522</v>
      </c>
      <c r="G663" s="421" t="s">
        <v>1030</v>
      </c>
    </row>
    <row r="664" spans="6:7" x14ac:dyDescent="0.2">
      <c r="F664" s="421">
        <v>21533</v>
      </c>
      <c r="G664" s="421" t="s">
        <v>1029</v>
      </c>
    </row>
    <row r="665" spans="6:7" x14ac:dyDescent="0.2">
      <c r="F665" s="421">
        <v>21543</v>
      </c>
      <c r="G665" s="421" t="s">
        <v>1028</v>
      </c>
    </row>
    <row r="666" spans="6:7" x14ac:dyDescent="0.2">
      <c r="F666" s="421">
        <v>21549</v>
      </c>
      <c r="G666" s="421" t="s">
        <v>1027</v>
      </c>
    </row>
    <row r="667" spans="6:7" x14ac:dyDescent="0.2">
      <c r="F667" s="421">
        <v>21550</v>
      </c>
      <c r="G667" s="421" t="s">
        <v>1026</v>
      </c>
    </row>
    <row r="668" spans="6:7" x14ac:dyDescent="0.2">
      <c r="F668" s="421">
        <v>21557</v>
      </c>
      <c r="G668" s="421" t="s">
        <v>1025</v>
      </c>
    </row>
    <row r="669" spans="6:7" x14ac:dyDescent="0.2">
      <c r="F669" s="421">
        <v>21559</v>
      </c>
      <c r="G669" s="421" t="s">
        <v>1024</v>
      </c>
    </row>
    <row r="670" spans="6:7" x14ac:dyDescent="0.2">
      <c r="F670" s="421">
        <v>21562</v>
      </c>
      <c r="G670" s="421" t="s">
        <v>2694</v>
      </c>
    </row>
    <row r="671" spans="6:7" x14ac:dyDescent="0.2">
      <c r="F671" s="421">
        <v>21563</v>
      </c>
      <c r="G671" s="421" t="s">
        <v>2695</v>
      </c>
    </row>
    <row r="672" spans="6:7" x14ac:dyDescent="0.2">
      <c r="F672" s="421">
        <v>21565</v>
      </c>
      <c r="G672" s="421" t="s">
        <v>1023</v>
      </c>
    </row>
    <row r="673" spans="6:7" x14ac:dyDescent="0.2">
      <c r="F673" s="421">
        <v>21566</v>
      </c>
      <c r="G673" s="421" t="s">
        <v>1022</v>
      </c>
    </row>
    <row r="674" spans="6:7" x14ac:dyDescent="0.2">
      <c r="F674" s="421">
        <v>21567</v>
      </c>
      <c r="G674" s="421" t="s">
        <v>1021</v>
      </c>
    </row>
    <row r="675" spans="6:7" x14ac:dyDescent="0.2">
      <c r="F675" s="421">
        <v>21569</v>
      </c>
      <c r="G675" s="421" t="s">
        <v>1020</v>
      </c>
    </row>
    <row r="676" spans="6:7" x14ac:dyDescent="0.2">
      <c r="F676" s="421">
        <v>21570</v>
      </c>
      <c r="G676" s="421" t="s">
        <v>1019</v>
      </c>
    </row>
    <row r="677" spans="6:7" x14ac:dyDescent="0.2">
      <c r="F677" s="421">
        <v>21572</v>
      </c>
      <c r="G677" s="421" t="s">
        <v>1018</v>
      </c>
    </row>
    <row r="678" spans="6:7" x14ac:dyDescent="0.2">
      <c r="F678" s="421">
        <v>21574</v>
      </c>
      <c r="G678" s="421" t="s">
        <v>2696</v>
      </c>
    </row>
    <row r="679" spans="6:7" x14ac:dyDescent="0.2">
      <c r="F679" s="421">
        <v>21575</v>
      </c>
      <c r="G679" s="421" t="s">
        <v>1017</v>
      </c>
    </row>
    <row r="680" spans="6:7" x14ac:dyDescent="0.2">
      <c r="F680" s="421">
        <v>21576</v>
      </c>
      <c r="G680" s="421" t="s">
        <v>1016</v>
      </c>
    </row>
    <row r="681" spans="6:7" x14ac:dyDescent="0.2">
      <c r="F681" s="421">
        <v>21586</v>
      </c>
      <c r="G681" s="421" t="s">
        <v>1015</v>
      </c>
    </row>
    <row r="682" spans="6:7" x14ac:dyDescent="0.2">
      <c r="F682" s="421">
        <v>21587</v>
      </c>
      <c r="G682" s="421" t="s">
        <v>1014</v>
      </c>
    </row>
    <row r="683" spans="6:7" x14ac:dyDescent="0.2">
      <c r="F683" s="421">
        <v>21591</v>
      </c>
      <c r="G683" s="421" t="s">
        <v>1013</v>
      </c>
    </row>
    <row r="684" spans="6:7" x14ac:dyDescent="0.2">
      <c r="F684" s="421">
        <v>21599</v>
      </c>
      <c r="G684" s="421" t="s">
        <v>1012</v>
      </c>
    </row>
    <row r="685" spans="6:7" x14ac:dyDescent="0.2">
      <c r="F685" s="421">
        <v>21600</v>
      </c>
      <c r="G685" s="421" t="s">
        <v>1692</v>
      </c>
    </row>
    <row r="686" spans="6:7" x14ac:dyDescent="0.2">
      <c r="F686" s="421">
        <v>21601</v>
      </c>
      <c r="G686" s="421" t="s">
        <v>1011</v>
      </c>
    </row>
    <row r="687" spans="6:7" x14ac:dyDescent="0.2">
      <c r="F687" s="421">
        <v>21609</v>
      </c>
      <c r="G687" s="421" t="s">
        <v>1010</v>
      </c>
    </row>
    <row r="688" spans="6:7" x14ac:dyDescent="0.2">
      <c r="F688" s="421">
        <v>21614</v>
      </c>
      <c r="G688" s="421" t="s">
        <v>1009</v>
      </c>
    </row>
    <row r="689" spans="6:7" x14ac:dyDescent="0.2">
      <c r="F689" s="421">
        <v>21617</v>
      </c>
      <c r="G689" s="421" t="s">
        <v>1008</v>
      </c>
    </row>
    <row r="690" spans="6:7" x14ac:dyDescent="0.2">
      <c r="F690" s="421">
        <v>21622</v>
      </c>
      <c r="G690" s="421" t="s">
        <v>1007</v>
      </c>
    </row>
    <row r="691" spans="6:7" x14ac:dyDescent="0.2">
      <c r="F691" s="421">
        <v>21624</v>
      </c>
      <c r="G691" s="421" t="s">
        <v>1006</v>
      </c>
    </row>
    <row r="692" spans="6:7" x14ac:dyDescent="0.2">
      <c r="F692" s="421">
        <v>21628</v>
      </c>
      <c r="G692" s="421" t="s">
        <v>1005</v>
      </c>
    </row>
    <row r="693" spans="6:7" x14ac:dyDescent="0.2">
      <c r="F693" s="421">
        <v>21629</v>
      </c>
      <c r="G693" s="421" t="s">
        <v>1004</v>
      </c>
    </row>
    <row r="694" spans="6:7" x14ac:dyDescent="0.2">
      <c r="F694" s="421">
        <v>21643</v>
      </c>
      <c r="G694" s="421" t="s">
        <v>1003</v>
      </c>
    </row>
    <row r="695" spans="6:7" x14ac:dyDescent="0.2">
      <c r="F695" s="421">
        <v>21648</v>
      </c>
      <c r="G695" s="421" t="s">
        <v>1002</v>
      </c>
    </row>
    <row r="696" spans="6:7" x14ac:dyDescent="0.2">
      <c r="F696" s="421">
        <v>21650</v>
      </c>
      <c r="G696" s="421" t="s">
        <v>1001</v>
      </c>
    </row>
    <row r="697" spans="6:7" x14ac:dyDescent="0.2">
      <c r="F697" s="421">
        <v>21651</v>
      </c>
      <c r="G697" s="421" t="s">
        <v>1000</v>
      </c>
    </row>
    <row r="698" spans="6:7" x14ac:dyDescent="0.2">
      <c r="F698" s="421">
        <v>21652</v>
      </c>
      <c r="G698" s="421" t="s">
        <v>999</v>
      </c>
    </row>
    <row r="699" spans="6:7" x14ac:dyDescent="0.2">
      <c r="F699" s="421">
        <v>21661</v>
      </c>
      <c r="G699" s="421" t="s">
        <v>998</v>
      </c>
    </row>
    <row r="700" spans="6:7" x14ac:dyDescent="0.2">
      <c r="F700" s="421">
        <v>21664</v>
      </c>
      <c r="G700" s="421" t="s">
        <v>3273</v>
      </c>
    </row>
    <row r="701" spans="6:7" x14ac:dyDescent="0.2">
      <c r="F701" s="421">
        <v>21666</v>
      </c>
      <c r="G701" s="421" t="s">
        <v>997</v>
      </c>
    </row>
    <row r="702" spans="6:7" x14ac:dyDescent="0.2">
      <c r="F702" s="421">
        <v>21686</v>
      </c>
      <c r="G702" s="421" t="s">
        <v>996</v>
      </c>
    </row>
    <row r="703" spans="6:7" x14ac:dyDescent="0.2">
      <c r="F703" s="421">
        <v>21733</v>
      </c>
      <c r="G703" s="421" t="s">
        <v>995</v>
      </c>
    </row>
    <row r="704" spans="6:7" x14ac:dyDescent="0.2">
      <c r="F704" s="421">
        <v>21804</v>
      </c>
      <c r="G704" s="421" t="s">
        <v>994</v>
      </c>
    </row>
    <row r="705" spans="6:7" x14ac:dyDescent="0.2">
      <c r="F705" s="421">
        <v>21805</v>
      </c>
      <c r="G705" s="421" t="s">
        <v>993</v>
      </c>
    </row>
    <row r="706" spans="6:7" x14ac:dyDescent="0.2">
      <c r="F706" s="421">
        <v>21831</v>
      </c>
      <c r="G706" s="421" t="s">
        <v>992</v>
      </c>
    </row>
    <row r="707" spans="6:7" x14ac:dyDescent="0.2">
      <c r="F707" s="421">
        <v>21833</v>
      </c>
      <c r="G707" s="421" t="s">
        <v>991</v>
      </c>
    </row>
    <row r="708" spans="6:7" x14ac:dyDescent="0.2">
      <c r="F708" s="421">
        <v>21834</v>
      </c>
      <c r="G708" s="421" t="s">
        <v>990</v>
      </c>
    </row>
    <row r="709" spans="6:7" x14ac:dyDescent="0.2">
      <c r="F709" s="421">
        <v>21836</v>
      </c>
      <c r="G709" s="421" t="s">
        <v>3274</v>
      </c>
    </row>
    <row r="710" spans="6:7" x14ac:dyDescent="0.2">
      <c r="F710" s="421">
        <v>21857</v>
      </c>
      <c r="G710" s="421" t="s">
        <v>3275</v>
      </c>
    </row>
    <row r="711" spans="6:7" x14ac:dyDescent="0.2">
      <c r="F711" s="421">
        <v>21872</v>
      </c>
      <c r="G711" s="421" t="s">
        <v>3276</v>
      </c>
    </row>
    <row r="712" spans="6:7" x14ac:dyDescent="0.2">
      <c r="F712" s="421">
        <v>21969</v>
      </c>
      <c r="G712" s="421" t="s">
        <v>989</v>
      </c>
    </row>
    <row r="713" spans="6:7" x14ac:dyDescent="0.2">
      <c r="F713" s="421">
        <v>22010</v>
      </c>
      <c r="G713" s="421" t="s">
        <v>988</v>
      </c>
    </row>
    <row r="714" spans="6:7" x14ac:dyDescent="0.2">
      <c r="F714" s="421">
        <v>22016</v>
      </c>
      <c r="G714" s="421" t="s">
        <v>1693</v>
      </c>
    </row>
    <row r="715" spans="6:7" x14ac:dyDescent="0.2">
      <c r="F715" s="421">
        <v>22017</v>
      </c>
      <c r="G715" s="421" t="s">
        <v>987</v>
      </c>
    </row>
    <row r="716" spans="6:7" x14ac:dyDescent="0.2">
      <c r="F716" s="421">
        <v>22021</v>
      </c>
      <c r="G716" s="421" t="s">
        <v>986</v>
      </c>
    </row>
    <row r="717" spans="6:7" x14ac:dyDescent="0.2">
      <c r="F717" s="421">
        <v>22044</v>
      </c>
      <c r="G717" s="421" t="s">
        <v>985</v>
      </c>
    </row>
    <row r="718" spans="6:7" x14ac:dyDescent="0.2">
      <c r="F718" s="421">
        <v>22068</v>
      </c>
      <c r="G718" s="421" t="s">
        <v>984</v>
      </c>
    </row>
    <row r="719" spans="6:7" x14ac:dyDescent="0.2">
      <c r="F719" s="421">
        <v>22072</v>
      </c>
      <c r="G719" s="421" t="s">
        <v>983</v>
      </c>
    </row>
    <row r="720" spans="6:7" x14ac:dyDescent="0.2">
      <c r="F720" s="421">
        <v>22084</v>
      </c>
      <c r="G720" s="421" t="s">
        <v>982</v>
      </c>
    </row>
    <row r="721" spans="6:7" x14ac:dyDescent="0.2">
      <c r="F721" s="421">
        <v>22093</v>
      </c>
      <c r="G721" s="421" t="s">
        <v>981</v>
      </c>
    </row>
    <row r="722" spans="6:7" x14ac:dyDescent="0.2">
      <c r="F722" s="421">
        <v>22098</v>
      </c>
      <c r="G722" s="421" t="s">
        <v>980</v>
      </c>
    </row>
    <row r="723" spans="6:7" x14ac:dyDescent="0.2">
      <c r="F723" s="421">
        <v>22114</v>
      </c>
      <c r="G723" s="421" t="s">
        <v>979</v>
      </c>
    </row>
    <row r="724" spans="6:7" x14ac:dyDescent="0.2">
      <c r="F724" s="421">
        <v>22121</v>
      </c>
      <c r="G724" s="421" t="s">
        <v>978</v>
      </c>
    </row>
    <row r="725" spans="6:7" x14ac:dyDescent="0.2">
      <c r="F725" s="421">
        <v>22126</v>
      </c>
      <c r="G725" s="421" t="s">
        <v>1694</v>
      </c>
    </row>
    <row r="726" spans="6:7" x14ac:dyDescent="0.2">
      <c r="F726" s="421">
        <v>22128</v>
      </c>
      <c r="G726" s="421" t="s">
        <v>977</v>
      </c>
    </row>
    <row r="727" spans="6:7" x14ac:dyDescent="0.2">
      <c r="F727" s="421">
        <v>22129</v>
      </c>
      <c r="G727" s="421" t="s">
        <v>976</v>
      </c>
    </row>
    <row r="728" spans="6:7" x14ac:dyDescent="0.2">
      <c r="F728" s="421">
        <v>22131</v>
      </c>
      <c r="G728" s="421" t="s">
        <v>975</v>
      </c>
    </row>
    <row r="729" spans="6:7" x14ac:dyDescent="0.2">
      <c r="F729" s="421">
        <v>22132</v>
      </c>
      <c r="G729" s="421" t="s">
        <v>3277</v>
      </c>
    </row>
    <row r="730" spans="6:7" x14ac:dyDescent="0.2">
      <c r="F730" s="421">
        <v>22141</v>
      </c>
      <c r="G730" s="421" t="s">
        <v>974</v>
      </c>
    </row>
    <row r="731" spans="6:7" x14ac:dyDescent="0.2">
      <c r="F731" s="421">
        <v>22142</v>
      </c>
      <c r="G731" s="421" t="s">
        <v>1695</v>
      </c>
    </row>
    <row r="732" spans="6:7" x14ac:dyDescent="0.2">
      <c r="F732" s="421">
        <v>22143</v>
      </c>
      <c r="G732" s="421" t="s">
        <v>1696</v>
      </c>
    </row>
    <row r="733" spans="6:7" x14ac:dyDescent="0.2">
      <c r="F733" s="421">
        <v>22146</v>
      </c>
      <c r="G733" s="421" t="s">
        <v>973</v>
      </c>
    </row>
    <row r="734" spans="6:7" x14ac:dyDescent="0.2">
      <c r="F734" s="421">
        <v>22147</v>
      </c>
      <c r="G734" s="421" t="s">
        <v>972</v>
      </c>
    </row>
    <row r="735" spans="6:7" x14ac:dyDescent="0.2">
      <c r="F735" s="421">
        <v>22154</v>
      </c>
      <c r="G735" s="421" t="s">
        <v>3278</v>
      </c>
    </row>
    <row r="736" spans="6:7" x14ac:dyDescent="0.2">
      <c r="F736" s="421">
        <v>22157</v>
      </c>
      <c r="G736" s="421" t="s">
        <v>971</v>
      </c>
    </row>
    <row r="737" spans="6:7" x14ac:dyDescent="0.2">
      <c r="F737" s="421">
        <v>22158</v>
      </c>
      <c r="G737" s="421" t="s">
        <v>970</v>
      </c>
    </row>
    <row r="738" spans="6:7" x14ac:dyDescent="0.2">
      <c r="F738" s="421">
        <v>22159</v>
      </c>
      <c r="G738" s="421" t="s">
        <v>969</v>
      </c>
    </row>
    <row r="739" spans="6:7" x14ac:dyDescent="0.2">
      <c r="F739" s="421">
        <v>22161</v>
      </c>
      <c r="G739" s="421" t="s">
        <v>968</v>
      </c>
    </row>
    <row r="740" spans="6:7" x14ac:dyDescent="0.2">
      <c r="F740" s="421">
        <v>22165</v>
      </c>
      <c r="G740" s="421" t="s">
        <v>3279</v>
      </c>
    </row>
    <row r="741" spans="6:7" x14ac:dyDescent="0.2">
      <c r="F741" s="421">
        <v>22166</v>
      </c>
      <c r="G741" s="421" t="s">
        <v>967</v>
      </c>
    </row>
    <row r="742" spans="6:7" x14ac:dyDescent="0.2">
      <c r="F742" s="421">
        <v>22168</v>
      </c>
      <c r="G742" s="421" t="s">
        <v>966</v>
      </c>
    </row>
    <row r="743" spans="6:7" x14ac:dyDescent="0.2">
      <c r="F743" s="421">
        <v>22169</v>
      </c>
      <c r="G743" s="421" t="s">
        <v>965</v>
      </c>
    </row>
    <row r="744" spans="6:7" x14ac:dyDescent="0.2">
      <c r="F744" s="421">
        <v>22171</v>
      </c>
      <c r="G744" s="421" t="s">
        <v>964</v>
      </c>
    </row>
    <row r="745" spans="6:7" x14ac:dyDescent="0.2">
      <c r="F745" s="421">
        <v>22175</v>
      </c>
      <c r="G745" s="421" t="s">
        <v>1697</v>
      </c>
    </row>
    <row r="746" spans="6:7" x14ac:dyDescent="0.2">
      <c r="F746" s="421">
        <v>22185</v>
      </c>
      <c r="G746" s="421" t="s">
        <v>963</v>
      </c>
    </row>
    <row r="747" spans="6:7" x14ac:dyDescent="0.2">
      <c r="F747" s="421">
        <v>22186</v>
      </c>
      <c r="G747" s="421" t="s">
        <v>962</v>
      </c>
    </row>
    <row r="748" spans="6:7" x14ac:dyDescent="0.2">
      <c r="F748" s="421">
        <v>22198</v>
      </c>
      <c r="G748" s="421" t="s">
        <v>961</v>
      </c>
    </row>
    <row r="749" spans="6:7" x14ac:dyDescent="0.2">
      <c r="F749" s="421">
        <v>22207</v>
      </c>
      <c r="G749" s="421" t="s">
        <v>2697</v>
      </c>
    </row>
    <row r="750" spans="6:7" x14ac:dyDescent="0.2">
      <c r="F750" s="421">
        <v>22214</v>
      </c>
      <c r="G750" s="421" t="s">
        <v>960</v>
      </c>
    </row>
    <row r="751" spans="6:7" x14ac:dyDescent="0.2">
      <c r="F751" s="421">
        <v>22226</v>
      </c>
      <c r="G751" s="421" t="s">
        <v>1698</v>
      </c>
    </row>
    <row r="752" spans="6:7" x14ac:dyDescent="0.2">
      <c r="F752" s="421">
        <v>22245</v>
      </c>
      <c r="G752" s="421" t="s">
        <v>959</v>
      </c>
    </row>
    <row r="753" spans="6:7" x14ac:dyDescent="0.2">
      <c r="F753" s="421">
        <v>22263</v>
      </c>
      <c r="G753" s="421" t="s">
        <v>958</v>
      </c>
    </row>
    <row r="754" spans="6:7" x14ac:dyDescent="0.2">
      <c r="F754" s="421">
        <v>22308</v>
      </c>
      <c r="G754" s="421" t="s">
        <v>2698</v>
      </c>
    </row>
    <row r="755" spans="6:7" x14ac:dyDescent="0.2">
      <c r="F755" s="421">
        <v>22351</v>
      </c>
      <c r="G755" s="421" t="s">
        <v>957</v>
      </c>
    </row>
    <row r="756" spans="6:7" x14ac:dyDescent="0.2">
      <c r="F756" s="421">
        <v>22362</v>
      </c>
      <c r="G756" s="421" t="s">
        <v>956</v>
      </c>
    </row>
    <row r="757" spans="6:7" x14ac:dyDescent="0.2">
      <c r="F757" s="421">
        <v>22446</v>
      </c>
      <c r="G757" s="421" t="s">
        <v>955</v>
      </c>
    </row>
    <row r="758" spans="6:7" x14ac:dyDescent="0.2">
      <c r="F758" s="421">
        <v>22469</v>
      </c>
      <c r="G758" s="421" t="s">
        <v>954</v>
      </c>
    </row>
    <row r="759" spans="6:7" x14ac:dyDescent="0.2">
      <c r="F759" s="421">
        <v>22485</v>
      </c>
      <c r="G759" s="421" t="s">
        <v>953</v>
      </c>
    </row>
    <row r="760" spans="6:7" x14ac:dyDescent="0.2">
      <c r="F760" s="421">
        <v>22515</v>
      </c>
      <c r="G760" s="421" t="s">
        <v>952</v>
      </c>
    </row>
    <row r="761" spans="6:7" x14ac:dyDescent="0.2">
      <c r="F761" s="421">
        <v>22534</v>
      </c>
      <c r="G761" s="421" t="s">
        <v>951</v>
      </c>
    </row>
    <row r="762" spans="6:7" x14ac:dyDescent="0.2">
      <c r="F762" s="421">
        <v>22539</v>
      </c>
      <c r="G762" s="421" t="s">
        <v>1699</v>
      </c>
    </row>
    <row r="763" spans="6:7" x14ac:dyDescent="0.2">
      <c r="F763" s="421">
        <v>22554</v>
      </c>
      <c r="G763" s="421" t="s">
        <v>950</v>
      </c>
    </row>
    <row r="764" spans="6:7" x14ac:dyDescent="0.2">
      <c r="F764" s="421">
        <v>22580</v>
      </c>
      <c r="G764" s="421" t="s">
        <v>949</v>
      </c>
    </row>
    <row r="765" spans="6:7" x14ac:dyDescent="0.2">
      <c r="F765" s="421">
        <v>22581</v>
      </c>
      <c r="G765" s="421" t="s">
        <v>948</v>
      </c>
    </row>
    <row r="766" spans="6:7" x14ac:dyDescent="0.2">
      <c r="F766" s="421">
        <v>22649</v>
      </c>
      <c r="G766" s="421" t="s">
        <v>947</v>
      </c>
    </row>
    <row r="767" spans="6:7" x14ac:dyDescent="0.2">
      <c r="F767" s="421">
        <v>22684</v>
      </c>
      <c r="G767" s="421" t="s">
        <v>946</v>
      </c>
    </row>
    <row r="768" spans="6:7" x14ac:dyDescent="0.2">
      <c r="F768" s="421">
        <v>22688</v>
      </c>
      <c r="G768" s="421" t="s">
        <v>945</v>
      </c>
    </row>
    <row r="769" spans="6:7" x14ac:dyDescent="0.2">
      <c r="F769" s="421">
        <v>22698</v>
      </c>
      <c r="G769" s="421" t="s">
        <v>944</v>
      </c>
    </row>
    <row r="770" spans="6:7" x14ac:dyDescent="0.2">
      <c r="F770" s="421">
        <v>22714</v>
      </c>
      <c r="G770" s="421" t="s">
        <v>3280</v>
      </c>
    </row>
    <row r="771" spans="6:7" x14ac:dyDescent="0.2">
      <c r="F771" s="421">
        <v>22721</v>
      </c>
      <c r="G771" s="421" t="s">
        <v>943</v>
      </c>
    </row>
    <row r="772" spans="6:7" x14ac:dyDescent="0.2">
      <c r="F772" s="421">
        <v>22722</v>
      </c>
      <c r="G772" s="421" t="s">
        <v>1700</v>
      </c>
    </row>
    <row r="773" spans="6:7" x14ac:dyDescent="0.2">
      <c r="F773" s="421">
        <v>22723</v>
      </c>
      <c r="G773" s="421" t="s">
        <v>942</v>
      </c>
    </row>
    <row r="774" spans="6:7" x14ac:dyDescent="0.2">
      <c r="F774" s="421">
        <v>22728</v>
      </c>
      <c r="G774" s="421" t="s">
        <v>941</v>
      </c>
    </row>
    <row r="775" spans="6:7" x14ac:dyDescent="0.2">
      <c r="F775" s="421">
        <v>22734</v>
      </c>
      <c r="G775" s="421" t="s">
        <v>940</v>
      </c>
    </row>
    <row r="776" spans="6:7" x14ac:dyDescent="0.2">
      <c r="F776" s="421">
        <v>22737</v>
      </c>
      <c r="G776" s="421" t="s">
        <v>939</v>
      </c>
    </row>
    <row r="777" spans="6:7" x14ac:dyDescent="0.2">
      <c r="F777" s="421">
        <v>22746</v>
      </c>
      <c r="G777" s="421" t="s">
        <v>938</v>
      </c>
    </row>
    <row r="778" spans="6:7" x14ac:dyDescent="0.2">
      <c r="F778" s="421">
        <v>22747</v>
      </c>
      <c r="G778" s="421" t="s">
        <v>937</v>
      </c>
    </row>
    <row r="779" spans="6:7" x14ac:dyDescent="0.2">
      <c r="F779" s="421">
        <v>22753</v>
      </c>
      <c r="G779" s="421" t="s">
        <v>2699</v>
      </c>
    </row>
    <row r="780" spans="6:7" x14ac:dyDescent="0.2">
      <c r="F780" s="421">
        <v>22754</v>
      </c>
      <c r="G780" s="421" t="s">
        <v>936</v>
      </c>
    </row>
    <row r="781" spans="6:7" x14ac:dyDescent="0.2">
      <c r="F781" s="421">
        <v>22763</v>
      </c>
      <c r="G781" s="421" t="s">
        <v>935</v>
      </c>
    </row>
    <row r="782" spans="6:7" x14ac:dyDescent="0.2">
      <c r="F782" s="421">
        <v>22765</v>
      </c>
      <c r="G782" s="421" t="s">
        <v>934</v>
      </c>
    </row>
    <row r="783" spans="6:7" x14ac:dyDescent="0.2">
      <c r="F783" s="421">
        <v>22777</v>
      </c>
      <c r="G783" s="421" t="s">
        <v>933</v>
      </c>
    </row>
    <row r="784" spans="6:7" x14ac:dyDescent="0.2">
      <c r="F784" s="421">
        <v>22781</v>
      </c>
      <c r="G784" s="421" t="s">
        <v>932</v>
      </c>
    </row>
    <row r="785" spans="6:7" x14ac:dyDescent="0.2">
      <c r="F785" s="421">
        <v>22786</v>
      </c>
      <c r="G785" s="421" t="s">
        <v>931</v>
      </c>
    </row>
    <row r="786" spans="6:7" x14ac:dyDescent="0.2">
      <c r="F786" s="421">
        <v>22790</v>
      </c>
      <c r="G786" s="421" t="s">
        <v>930</v>
      </c>
    </row>
    <row r="787" spans="6:7" x14ac:dyDescent="0.2">
      <c r="F787" s="421">
        <v>22794</v>
      </c>
      <c r="G787" s="421" t="s">
        <v>929</v>
      </c>
    </row>
    <row r="788" spans="6:7" x14ac:dyDescent="0.2">
      <c r="F788" s="421">
        <v>22799</v>
      </c>
      <c r="G788" s="421" t="s">
        <v>928</v>
      </c>
    </row>
    <row r="789" spans="6:7" x14ac:dyDescent="0.2">
      <c r="F789" s="421">
        <v>22811</v>
      </c>
      <c r="G789" s="421" t="s">
        <v>927</v>
      </c>
    </row>
    <row r="790" spans="6:7" x14ac:dyDescent="0.2">
      <c r="F790" s="421">
        <v>22812</v>
      </c>
      <c r="G790" s="421" t="s">
        <v>926</v>
      </c>
    </row>
    <row r="791" spans="6:7" x14ac:dyDescent="0.2">
      <c r="F791" s="421">
        <v>22813</v>
      </c>
      <c r="G791" s="421" t="s">
        <v>925</v>
      </c>
    </row>
    <row r="792" spans="6:7" x14ac:dyDescent="0.2">
      <c r="F792" s="421">
        <v>22837</v>
      </c>
      <c r="G792" s="421" t="s">
        <v>1701</v>
      </c>
    </row>
    <row r="793" spans="6:7" x14ac:dyDescent="0.2">
      <c r="F793" s="421">
        <v>22843</v>
      </c>
      <c r="G793" s="421" t="s">
        <v>924</v>
      </c>
    </row>
    <row r="794" spans="6:7" x14ac:dyDescent="0.2">
      <c r="F794" s="421">
        <v>22844</v>
      </c>
      <c r="G794" s="421" t="s">
        <v>923</v>
      </c>
    </row>
    <row r="795" spans="6:7" x14ac:dyDescent="0.2">
      <c r="F795" s="421">
        <v>22846</v>
      </c>
      <c r="G795" s="421" t="s">
        <v>922</v>
      </c>
    </row>
    <row r="796" spans="6:7" x14ac:dyDescent="0.2">
      <c r="F796" s="421">
        <v>22858</v>
      </c>
      <c r="G796" s="421" t="s">
        <v>2700</v>
      </c>
    </row>
    <row r="797" spans="6:7" x14ac:dyDescent="0.2">
      <c r="F797" s="421">
        <v>22859</v>
      </c>
      <c r="G797" s="421" t="s">
        <v>2701</v>
      </c>
    </row>
    <row r="798" spans="6:7" x14ac:dyDescent="0.2">
      <c r="F798" s="421">
        <v>22860</v>
      </c>
      <c r="G798" s="421" t="s">
        <v>921</v>
      </c>
    </row>
    <row r="799" spans="6:7" x14ac:dyDescent="0.2">
      <c r="F799" s="421">
        <v>22863</v>
      </c>
      <c r="G799" s="421" t="s">
        <v>920</v>
      </c>
    </row>
    <row r="800" spans="6:7" x14ac:dyDescent="0.2">
      <c r="F800" s="421">
        <v>22877</v>
      </c>
      <c r="G800" s="421" t="s">
        <v>919</v>
      </c>
    </row>
    <row r="801" spans="6:7" x14ac:dyDescent="0.2">
      <c r="F801" s="421">
        <v>22878</v>
      </c>
      <c r="G801" s="421" t="s">
        <v>918</v>
      </c>
    </row>
    <row r="802" spans="6:7" x14ac:dyDescent="0.2">
      <c r="F802" s="421">
        <v>22889</v>
      </c>
      <c r="G802" s="421" t="s">
        <v>917</v>
      </c>
    </row>
    <row r="803" spans="6:7" x14ac:dyDescent="0.2">
      <c r="F803" s="421">
        <v>22890</v>
      </c>
      <c r="G803" s="421" t="s">
        <v>916</v>
      </c>
    </row>
    <row r="804" spans="6:7" x14ac:dyDescent="0.2">
      <c r="F804" s="421">
        <v>22898</v>
      </c>
      <c r="G804" s="421" t="s">
        <v>915</v>
      </c>
    </row>
    <row r="805" spans="6:7" x14ac:dyDescent="0.2">
      <c r="F805" s="421">
        <v>22899</v>
      </c>
      <c r="G805" s="421" t="s">
        <v>2702</v>
      </c>
    </row>
    <row r="806" spans="6:7" x14ac:dyDescent="0.2">
      <c r="F806" s="421">
        <v>22900</v>
      </c>
      <c r="G806" s="421" t="s">
        <v>914</v>
      </c>
    </row>
    <row r="807" spans="6:7" x14ac:dyDescent="0.2">
      <c r="F807" s="421">
        <v>22904</v>
      </c>
      <c r="G807" s="421" t="s">
        <v>2703</v>
      </c>
    </row>
    <row r="808" spans="6:7" x14ac:dyDescent="0.2">
      <c r="F808" s="421">
        <v>22906</v>
      </c>
      <c r="G808" s="421" t="s">
        <v>913</v>
      </c>
    </row>
    <row r="809" spans="6:7" x14ac:dyDescent="0.2">
      <c r="F809" s="421">
        <v>22910</v>
      </c>
      <c r="G809" s="421" t="s">
        <v>912</v>
      </c>
    </row>
    <row r="810" spans="6:7" x14ac:dyDescent="0.2">
      <c r="F810" s="421">
        <v>22912</v>
      </c>
      <c r="G810" s="421" t="s">
        <v>2704</v>
      </c>
    </row>
    <row r="811" spans="6:7" x14ac:dyDescent="0.2">
      <c r="F811" s="421">
        <v>22916</v>
      </c>
      <c r="G811" s="421" t="s">
        <v>911</v>
      </c>
    </row>
    <row r="812" spans="6:7" x14ac:dyDescent="0.2">
      <c r="F812" s="421">
        <v>22919</v>
      </c>
      <c r="G812" s="421" t="s">
        <v>910</v>
      </c>
    </row>
    <row r="813" spans="6:7" x14ac:dyDescent="0.2">
      <c r="F813" s="421">
        <v>22920</v>
      </c>
      <c r="G813" s="421" t="s">
        <v>909</v>
      </c>
    </row>
    <row r="814" spans="6:7" x14ac:dyDescent="0.2">
      <c r="F814" s="421">
        <v>22921</v>
      </c>
      <c r="G814" s="421" t="s">
        <v>908</v>
      </c>
    </row>
    <row r="815" spans="6:7" x14ac:dyDescent="0.2">
      <c r="F815" s="421">
        <v>22923</v>
      </c>
      <c r="G815" s="421" t="s">
        <v>907</v>
      </c>
    </row>
    <row r="816" spans="6:7" x14ac:dyDescent="0.2">
      <c r="F816" s="421">
        <v>22925</v>
      </c>
      <c r="G816" s="421" t="s">
        <v>906</v>
      </c>
    </row>
    <row r="817" spans="6:7" x14ac:dyDescent="0.2">
      <c r="F817" s="421">
        <v>22928</v>
      </c>
      <c r="G817" s="421" t="s">
        <v>905</v>
      </c>
    </row>
    <row r="818" spans="6:7" x14ac:dyDescent="0.2">
      <c r="F818" s="421">
        <v>22930</v>
      </c>
      <c r="G818" s="421" t="s">
        <v>904</v>
      </c>
    </row>
    <row r="819" spans="6:7" x14ac:dyDescent="0.2">
      <c r="F819" s="421">
        <v>22932</v>
      </c>
      <c r="G819" s="421" t="s">
        <v>903</v>
      </c>
    </row>
    <row r="820" spans="6:7" x14ac:dyDescent="0.2">
      <c r="F820" s="421">
        <v>22936</v>
      </c>
      <c r="G820" s="421" t="s">
        <v>902</v>
      </c>
    </row>
    <row r="821" spans="6:7" x14ac:dyDescent="0.2">
      <c r="F821" s="421">
        <v>22938</v>
      </c>
      <c r="G821" s="421" t="s">
        <v>901</v>
      </c>
    </row>
    <row r="822" spans="6:7" x14ac:dyDescent="0.2">
      <c r="F822" s="421">
        <v>22944</v>
      </c>
      <c r="G822" s="421" t="s">
        <v>900</v>
      </c>
    </row>
    <row r="823" spans="6:7" x14ac:dyDescent="0.2">
      <c r="F823" s="421">
        <v>22948</v>
      </c>
      <c r="G823" s="421" t="s">
        <v>1702</v>
      </c>
    </row>
    <row r="824" spans="6:7" x14ac:dyDescent="0.2">
      <c r="F824" s="421">
        <v>22952</v>
      </c>
      <c r="G824" s="421" t="s">
        <v>899</v>
      </c>
    </row>
    <row r="825" spans="6:7" x14ac:dyDescent="0.2">
      <c r="F825" s="421">
        <v>22956</v>
      </c>
      <c r="G825" s="421" t="s">
        <v>898</v>
      </c>
    </row>
    <row r="826" spans="6:7" x14ac:dyDescent="0.2">
      <c r="F826" s="421">
        <v>22957</v>
      </c>
      <c r="G826" s="421" t="s">
        <v>897</v>
      </c>
    </row>
    <row r="827" spans="6:7" x14ac:dyDescent="0.2">
      <c r="F827" s="421">
        <v>22962</v>
      </c>
      <c r="G827" s="421" t="s">
        <v>896</v>
      </c>
    </row>
    <row r="828" spans="6:7" x14ac:dyDescent="0.2">
      <c r="F828" s="421">
        <v>22965</v>
      </c>
      <c r="G828" s="421" t="s">
        <v>895</v>
      </c>
    </row>
    <row r="829" spans="6:7" x14ac:dyDescent="0.2">
      <c r="F829" s="421">
        <v>22967</v>
      </c>
      <c r="G829" s="421" t="s">
        <v>3281</v>
      </c>
    </row>
    <row r="830" spans="6:7" x14ac:dyDescent="0.2">
      <c r="F830" s="421">
        <v>22990</v>
      </c>
      <c r="G830" s="421" t="s">
        <v>894</v>
      </c>
    </row>
    <row r="831" spans="6:7" x14ac:dyDescent="0.2">
      <c r="F831" s="421">
        <v>22995</v>
      </c>
      <c r="G831" s="421" t="s">
        <v>893</v>
      </c>
    </row>
    <row r="832" spans="6:7" x14ac:dyDescent="0.2">
      <c r="F832" s="421">
        <v>22999</v>
      </c>
      <c r="G832" s="421" t="s">
        <v>892</v>
      </c>
    </row>
    <row r="833" spans="6:7" x14ac:dyDescent="0.2">
      <c r="F833" s="421">
        <v>23002</v>
      </c>
      <c r="G833" s="421" t="s">
        <v>891</v>
      </c>
    </row>
    <row r="834" spans="6:7" x14ac:dyDescent="0.2">
      <c r="F834" s="421">
        <v>23007</v>
      </c>
      <c r="G834" s="421" t="s">
        <v>890</v>
      </c>
    </row>
    <row r="835" spans="6:7" x14ac:dyDescent="0.2">
      <c r="F835" s="421">
        <v>23010</v>
      </c>
      <c r="G835" s="421" t="s">
        <v>889</v>
      </c>
    </row>
    <row r="836" spans="6:7" x14ac:dyDescent="0.2">
      <c r="F836" s="421">
        <v>23018</v>
      </c>
      <c r="G836" s="421" t="s">
        <v>1703</v>
      </c>
    </row>
    <row r="837" spans="6:7" x14ac:dyDescent="0.2">
      <c r="F837" s="421">
        <v>23020</v>
      </c>
      <c r="G837" s="421" t="s">
        <v>2705</v>
      </c>
    </row>
    <row r="838" spans="6:7" x14ac:dyDescent="0.2">
      <c r="F838" s="421">
        <v>23022</v>
      </c>
      <c r="G838" s="421" t="s">
        <v>888</v>
      </c>
    </row>
    <row r="839" spans="6:7" x14ac:dyDescent="0.2">
      <c r="F839" s="421">
        <v>23032</v>
      </c>
      <c r="G839" s="421" t="s">
        <v>887</v>
      </c>
    </row>
    <row r="840" spans="6:7" x14ac:dyDescent="0.2">
      <c r="F840" s="421">
        <v>23038</v>
      </c>
      <c r="G840" s="421" t="s">
        <v>1704</v>
      </c>
    </row>
    <row r="841" spans="6:7" x14ac:dyDescent="0.2">
      <c r="F841" s="421">
        <v>23042</v>
      </c>
      <c r="G841" s="421" t="s">
        <v>886</v>
      </c>
    </row>
    <row r="842" spans="6:7" x14ac:dyDescent="0.2">
      <c r="F842" s="421">
        <v>23044</v>
      </c>
      <c r="G842" s="421" t="s">
        <v>885</v>
      </c>
    </row>
    <row r="843" spans="6:7" x14ac:dyDescent="0.2">
      <c r="F843" s="421">
        <v>23068</v>
      </c>
      <c r="G843" s="421" t="s">
        <v>884</v>
      </c>
    </row>
    <row r="844" spans="6:7" x14ac:dyDescent="0.2">
      <c r="F844" s="421">
        <v>23082</v>
      </c>
      <c r="G844" s="421" t="s">
        <v>883</v>
      </c>
    </row>
    <row r="845" spans="6:7" x14ac:dyDescent="0.2">
      <c r="F845" s="421">
        <v>23092</v>
      </c>
      <c r="G845" s="421" t="s">
        <v>882</v>
      </c>
    </row>
    <row r="846" spans="6:7" x14ac:dyDescent="0.2">
      <c r="F846" s="421">
        <v>23097</v>
      </c>
      <c r="G846" s="421" t="s">
        <v>881</v>
      </c>
    </row>
    <row r="847" spans="6:7" x14ac:dyDescent="0.2">
      <c r="F847" s="421">
        <v>23098</v>
      </c>
      <c r="G847" s="421" t="s">
        <v>880</v>
      </c>
    </row>
    <row r="848" spans="6:7" x14ac:dyDescent="0.2">
      <c r="F848" s="421">
        <v>23137</v>
      </c>
      <c r="G848" s="421" t="s">
        <v>879</v>
      </c>
    </row>
    <row r="849" spans="6:7" x14ac:dyDescent="0.2">
      <c r="F849" s="421">
        <v>23146</v>
      </c>
      <c r="G849" s="421" t="s">
        <v>878</v>
      </c>
    </row>
    <row r="850" spans="6:7" x14ac:dyDescent="0.2">
      <c r="F850" s="421">
        <v>23150</v>
      </c>
      <c r="G850" s="421" t="s">
        <v>877</v>
      </c>
    </row>
    <row r="851" spans="6:7" x14ac:dyDescent="0.2">
      <c r="F851" s="421">
        <v>23186</v>
      </c>
      <c r="G851" s="421" t="s">
        <v>3068</v>
      </c>
    </row>
    <row r="852" spans="6:7" x14ac:dyDescent="0.2">
      <c r="F852" s="421">
        <v>23354</v>
      </c>
      <c r="G852" s="421" t="s">
        <v>876</v>
      </c>
    </row>
    <row r="853" spans="6:7" x14ac:dyDescent="0.2">
      <c r="F853" s="421">
        <v>23717</v>
      </c>
      <c r="G853" s="421" t="s">
        <v>875</v>
      </c>
    </row>
    <row r="854" spans="6:7" x14ac:dyDescent="0.2">
      <c r="F854" s="421">
        <v>23724</v>
      </c>
      <c r="G854" s="421" t="s">
        <v>874</v>
      </c>
    </row>
    <row r="855" spans="6:7" x14ac:dyDescent="0.2">
      <c r="F855" s="421">
        <v>23782</v>
      </c>
      <c r="G855" s="421" t="s">
        <v>873</v>
      </c>
    </row>
    <row r="856" spans="6:7" x14ac:dyDescent="0.2">
      <c r="F856" s="421">
        <v>23791</v>
      </c>
      <c r="G856" s="421" t="s">
        <v>872</v>
      </c>
    </row>
    <row r="857" spans="6:7" x14ac:dyDescent="0.2">
      <c r="F857" s="421">
        <v>23798</v>
      </c>
      <c r="G857" s="421" t="s">
        <v>871</v>
      </c>
    </row>
    <row r="858" spans="6:7" x14ac:dyDescent="0.2">
      <c r="F858" s="421">
        <v>23800</v>
      </c>
      <c r="G858" s="421" t="s">
        <v>870</v>
      </c>
    </row>
    <row r="859" spans="6:7" x14ac:dyDescent="0.2">
      <c r="F859" s="421">
        <v>23804</v>
      </c>
      <c r="G859" s="421" t="s">
        <v>869</v>
      </c>
    </row>
    <row r="860" spans="6:7" x14ac:dyDescent="0.2">
      <c r="F860" s="421">
        <v>23806</v>
      </c>
      <c r="G860" s="421" t="s">
        <v>868</v>
      </c>
    </row>
    <row r="861" spans="6:7" x14ac:dyDescent="0.2">
      <c r="F861" s="421">
        <v>23807</v>
      </c>
      <c r="G861" s="421" t="s">
        <v>867</v>
      </c>
    </row>
    <row r="862" spans="6:7" x14ac:dyDescent="0.2">
      <c r="F862" s="421">
        <v>23808</v>
      </c>
      <c r="G862" s="421" t="s">
        <v>866</v>
      </c>
    </row>
    <row r="863" spans="6:7" x14ac:dyDescent="0.2">
      <c r="F863" s="421">
        <v>23814</v>
      </c>
      <c r="G863" s="421" t="s">
        <v>865</v>
      </c>
    </row>
    <row r="864" spans="6:7" x14ac:dyDescent="0.2">
      <c r="F864" s="421">
        <v>23818</v>
      </c>
      <c r="G864" s="421" t="s">
        <v>2706</v>
      </c>
    </row>
    <row r="865" spans="6:7" x14ac:dyDescent="0.2">
      <c r="F865" s="421">
        <v>23819</v>
      </c>
      <c r="G865" s="421" t="s">
        <v>3282</v>
      </c>
    </row>
    <row r="866" spans="6:7" x14ac:dyDescent="0.2">
      <c r="F866" s="421">
        <v>23826</v>
      </c>
      <c r="G866" s="421" t="s">
        <v>864</v>
      </c>
    </row>
    <row r="867" spans="6:7" x14ac:dyDescent="0.2">
      <c r="F867" s="421">
        <v>23835</v>
      </c>
      <c r="G867" s="421" t="s">
        <v>863</v>
      </c>
    </row>
    <row r="868" spans="6:7" x14ac:dyDescent="0.2">
      <c r="F868" s="421">
        <v>23837</v>
      </c>
      <c r="G868" s="421" t="s">
        <v>862</v>
      </c>
    </row>
    <row r="869" spans="6:7" x14ac:dyDescent="0.2">
      <c r="F869" s="421">
        <v>23838</v>
      </c>
      <c r="G869" s="421" t="s">
        <v>861</v>
      </c>
    </row>
    <row r="870" spans="6:7" x14ac:dyDescent="0.2">
      <c r="F870" s="421">
        <v>23839</v>
      </c>
      <c r="G870" s="421" t="s">
        <v>860</v>
      </c>
    </row>
    <row r="871" spans="6:7" x14ac:dyDescent="0.2">
      <c r="F871" s="421">
        <v>23841</v>
      </c>
      <c r="G871" s="421" t="s">
        <v>859</v>
      </c>
    </row>
    <row r="872" spans="6:7" x14ac:dyDescent="0.2">
      <c r="F872" s="421">
        <v>23843</v>
      </c>
      <c r="G872" s="421" t="s">
        <v>858</v>
      </c>
    </row>
    <row r="873" spans="6:7" x14ac:dyDescent="0.2">
      <c r="F873" s="421">
        <v>23846</v>
      </c>
      <c r="G873" s="421" t="s">
        <v>857</v>
      </c>
    </row>
    <row r="874" spans="6:7" x14ac:dyDescent="0.2">
      <c r="F874" s="421">
        <v>23849</v>
      </c>
      <c r="G874" s="421" t="s">
        <v>856</v>
      </c>
    </row>
    <row r="875" spans="6:7" x14ac:dyDescent="0.2">
      <c r="F875" s="421">
        <v>23850</v>
      </c>
      <c r="G875" s="421" t="s">
        <v>855</v>
      </c>
    </row>
    <row r="876" spans="6:7" x14ac:dyDescent="0.2">
      <c r="F876" s="421">
        <v>23855</v>
      </c>
      <c r="G876" s="421" t="s">
        <v>854</v>
      </c>
    </row>
    <row r="877" spans="6:7" x14ac:dyDescent="0.2">
      <c r="F877" s="421">
        <v>23859</v>
      </c>
      <c r="G877" s="421" t="s">
        <v>853</v>
      </c>
    </row>
    <row r="878" spans="6:7" x14ac:dyDescent="0.2">
      <c r="F878" s="421">
        <v>23860</v>
      </c>
      <c r="G878" s="421" t="s">
        <v>852</v>
      </c>
    </row>
    <row r="879" spans="6:7" x14ac:dyDescent="0.2">
      <c r="F879" s="421">
        <v>23861</v>
      </c>
      <c r="G879" s="421" t="s">
        <v>851</v>
      </c>
    </row>
    <row r="880" spans="6:7" x14ac:dyDescent="0.2">
      <c r="F880" s="421">
        <v>23862</v>
      </c>
      <c r="G880" s="421" t="s">
        <v>850</v>
      </c>
    </row>
    <row r="881" spans="6:7" x14ac:dyDescent="0.2">
      <c r="F881" s="421">
        <v>23863</v>
      </c>
      <c r="G881" s="421" t="s">
        <v>849</v>
      </c>
    </row>
    <row r="882" spans="6:7" x14ac:dyDescent="0.2">
      <c r="F882" s="421">
        <v>23865</v>
      </c>
      <c r="G882" s="421" t="s">
        <v>848</v>
      </c>
    </row>
    <row r="883" spans="6:7" x14ac:dyDescent="0.2">
      <c r="F883" s="421">
        <v>23868</v>
      </c>
      <c r="G883" s="421" t="s">
        <v>1705</v>
      </c>
    </row>
    <row r="884" spans="6:7" x14ac:dyDescent="0.2">
      <c r="F884" s="421">
        <v>23873</v>
      </c>
      <c r="G884" s="421" t="s">
        <v>1706</v>
      </c>
    </row>
    <row r="885" spans="6:7" x14ac:dyDescent="0.2">
      <c r="F885" s="421">
        <v>23881</v>
      </c>
      <c r="G885" s="421" t="s">
        <v>2707</v>
      </c>
    </row>
    <row r="886" spans="6:7" x14ac:dyDescent="0.2">
      <c r="F886" s="421">
        <v>23888</v>
      </c>
      <c r="G886" s="421" t="s">
        <v>847</v>
      </c>
    </row>
    <row r="887" spans="6:7" x14ac:dyDescent="0.2">
      <c r="F887" s="421">
        <v>23891</v>
      </c>
      <c r="G887" s="421" t="s">
        <v>846</v>
      </c>
    </row>
    <row r="888" spans="6:7" x14ac:dyDescent="0.2">
      <c r="F888" s="421">
        <v>23893</v>
      </c>
      <c r="G888" s="421" t="s">
        <v>845</v>
      </c>
    </row>
    <row r="889" spans="6:7" x14ac:dyDescent="0.2">
      <c r="F889" s="421">
        <v>23894</v>
      </c>
      <c r="G889" s="421" t="s">
        <v>844</v>
      </c>
    </row>
    <row r="890" spans="6:7" x14ac:dyDescent="0.2">
      <c r="F890" s="421">
        <v>23904</v>
      </c>
      <c r="G890" s="421" t="s">
        <v>843</v>
      </c>
    </row>
    <row r="891" spans="6:7" x14ac:dyDescent="0.2">
      <c r="F891" s="421">
        <v>23906</v>
      </c>
      <c r="G891" s="421" t="s">
        <v>842</v>
      </c>
    </row>
    <row r="892" spans="6:7" x14ac:dyDescent="0.2">
      <c r="F892" s="421">
        <v>23907</v>
      </c>
      <c r="G892" s="421" t="s">
        <v>841</v>
      </c>
    </row>
    <row r="893" spans="6:7" x14ac:dyDescent="0.2">
      <c r="F893" s="421">
        <v>23913</v>
      </c>
      <c r="G893" s="421" t="s">
        <v>1707</v>
      </c>
    </row>
    <row r="894" spans="6:7" x14ac:dyDescent="0.2">
      <c r="F894" s="421">
        <v>23914</v>
      </c>
      <c r="G894" s="421" t="s">
        <v>1708</v>
      </c>
    </row>
    <row r="895" spans="6:7" x14ac:dyDescent="0.2">
      <c r="F895" s="421">
        <v>23917</v>
      </c>
      <c r="G895" s="421" t="s">
        <v>840</v>
      </c>
    </row>
    <row r="896" spans="6:7" x14ac:dyDescent="0.2">
      <c r="F896" s="421">
        <v>23918</v>
      </c>
      <c r="G896" s="421" t="s">
        <v>839</v>
      </c>
    </row>
    <row r="897" spans="6:7" x14ac:dyDescent="0.2">
      <c r="F897" s="421">
        <v>23920</v>
      </c>
      <c r="G897" s="421" t="s">
        <v>838</v>
      </c>
    </row>
    <row r="898" spans="6:7" x14ac:dyDescent="0.2">
      <c r="F898" s="421">
        <v>23922</v>
      </c>
      <c r="G898" s="421" t="s">
        <v>837</v>
      </c>
    </row>
    <row r="899" spans="6:7" x14ac:dyDescent="0.2">
      <c r="F899" s="421">
        <v>23926</v>
      </c>
      <c r="G899" s="421" t="s">
        <v>836</v>
      </c>
    </row>
    <row r="900" spans="6:7" x14ac:dyDescent="0.2">
      <c r="F900" s="421">
        <v>23927</v>
      </c>
      <c r="G900" s="421" t="s">
        <v>835</v>
      </c>
    </row>
    <row r="901" spans="6:7" x14ac:dyDescent="0.2">
      <c r="F901" s="421">
        <v>23934</v>
      </c>
      <c r="G901" s="421" t="s">
        <v>834</v>
      </c>
    </row>
    <row r="902" spans="6:7" x14ac:dyDescent="0.2">
      <c r="F902" s="421">
        <v>23935</v>
      </c>
      <c r="G902" s="421" t="s">
        <v>833</v>
      </c>
    </row>
    <row r="903" spans="6:7" x14ac:dyDescent="0.2">
      <c r="F903" s="421">
        <v>23940</v>
      </c>
      <c r="G903" s="421" t="s">
        <v>3069</v>
      </c>
    </row>
    <row r="904" spans="6:7" x14ac:dyDescent="0.2">
      <c r="F904" s="421">
        <v>23943</v>
      </c>
      <c r="G904" s="421" t="s">
        <v>1709</v>
      </c>
    </row>
    <row r="905" spans="6:7" x14ac:dyDescent="0.2">
      <c r="F905" s="421">
        <v>23948</v>
      </c>
      <c r="G905" s="421" t="s">
        <v>832</v>
      </c>
    </row>
    <row r="906" spans="6:7" x14ac:dyDescent="0.2">
      <c r="F906" s="421">
        <v>23949</v>
      </c>
      <c r="G906" s="421" t="s">
        <v>831</v>
      </c>
    </row>
    <row r="907" spans="6:7" x14ac:dyDescent="0.2">
      <c r="F907" s="421">
        <v>23952</v>
      </c>
      <c r="G907" s="421" t="s">
        <v>830</v>
      </c>
    </row>
    <row r="908" spans="6:7" x14ac:dyDescent="0.2">
      <c r="F908" s="421">
        <v>23953</v>
      </c>
      <c r="G908" s="421" t="s">
        <v>829</v>
      </c>
    </row>
    <row r="909" spans="6:7" x14ac:dyDescent="0.2">
      <c r="F909" s="421">
        <v>23965</v>
      </c>
      <c r="G909" s="421" t="s">
        <v>828</v>
      </c>
    </row>
    <row r="910" spans="6:7" x14ac:dyDescent="0.2">
      <c r="F910" s="421">
        <v>23968</v>
      </c>
      <c r="G910" s="421" t="s">
        <v>827</v>
      </c>
    </row>
    <row r="911" spans="6:7" x14ac:dyDescent="0.2">
      <c r="F911" s="421">
        <v>23989</v>
      </c>
      <c r="G911" s="421" t="s">
        <v>826</v>
      </c>
    </row>
    <row r="912" spans="6:7" x14ac:dyDescent="0.2">
      <c r="F912" s="421">
        <v>23991</v>
      </c>
      <c r="G912" s="421" t="s">
        <v>1710</v>
      </c>
    </row>
    <row r="913" spans="6:7" x14ac:dyDescent="0.2">
      <c r="F913" s="421">
        <v>24027</v>
      </c>
      <c r="G913" s="421" t="s">
        <v>825</v>
      </c>
    </row>
    <row r="914" spans="6:7" x14ac:dyDescent="0.2">
      <c r="F914" s="421">
        <v>24046</v>
      </c>
      <c r="G914" s="421" t="s">
        <v>824</v>
      </c>
    </row>
    <row r="915" spans="6:7" x14ac:dyDescent="0.2">
      <c r="F915" s="421">
        <v>24054</v>
      </c>
      <c r="G915" s="421" t="s">
        <v>823</v>
      </c>
    </row>
    <row r="916" spans="6:7" x14ac:dyDescent="0.2">
      <c r="F916" s="421">
        <v>24062</v>
      </c>
      <c r="G916" s="421" t="s">
        <v>822</v>
      </c>
    </row>
    <row r="917" spans="6:7" x14ac:dyDescent="0.2">
      <c r="F917" s="421">
        <v>24086</v>
      </c>
      <c r="G917" s="421" t="s">
        <v>821</v>
      </c>
    </row>
    <row r="918" spans="6:7" x14ac:dyDescent="0.2">
      <c r="F918" s="421">
        <v>24093</v>
      </c>
      <c r="G918" s="421" t="s">
        <v>820</v>
      </c>
    </row>
    <row r="919" spans="6:7" x14ac:dyDescent="0.2">
      <c r="F919" s="421">
        <v>24109</v>
      </c>
      <c r="G919" s="421" t="s">
        <v>819</v>
      </c>
    </row>
    <row r="920" spans="6:7" x14ac:dyDescent="0.2">
      <c r="F920" s="421">
        <v>24122</v>
      </c>
      <c r="G920" s="421" t="s">
        <v>818</v>
      </c>
    </row>
    <row r="921" spans="6:7" x14ac:dyDescent="0.2">
      <c r="F921" s="421">
        <v>24170</v>
      </c>
      <c r="G921" s="421" t="s">
        <v>817</v>
      </c>
    </row>
    <row r="922" spans="6:7" x14ac:dyDescent="0.2">
      <c r="F922" s="421">
        <v>24179</v>
      </c>
      <c r="G922" s="421" t="s">
        <v>816</v>
      </c>
    </row>
    <row r="923" spans="6:7" x14ac:dyDescent="0.2">
      <c r="F923" s="421">
        <v>24198</v>
      </c>
      <c r="G923" s="421" t="s">
        <v>815</v>
      </c>
    </row>
    <row r="924" spans="6:7" x14ac:dyDescent="0.2">
      <c r="F924" s="421">
        <v>24211</v>
      </c>
      <c r="G924" s="421" t="s">
        <v>814</v>
      </c>
    </row>
    <row r="925" spans="6:7" x14ac:dyDescent="0.2">
      <c r="F925" s="421">
        <v>24212</v>
      </c>
      <c r="G925" s="421" t="s">
        <v>813</v>
      </c>
    </row>
    <row r="926" spans="6:7" x14ac:dyDescent="0.2">
      <c r="F926" s="421">
        <v>24215</v>
      </c>
      <c r="G926" s="421" t="s">
        <v>812</v>
      </c>
    </row>
    <row r="927" spans="6:7" x14ac:dyDescent="0.2">
      <c r="F927" s="421">
        <v>24218</v>
      </c>
      <c r="G927" s="421" t="s">
        <v>3283</v>
      </c>
    </row>
    <row r="928" spans="6:7" x14ac:dyDescent="0.2">
      <c r="F928" s="421">
        <v>24317</v>
      </c>
      <c r="G928" s="421" t="s">
        <v>1711</v>
      </c>
    </row>
    <row r="929" spans="6:7" x14ac:dyDescent="0.2">
      <c r="F929" s="421">
        <v>24369</v>
      </c>
      <c r="G929" s="421" t="s">
        <v>811</v>
      </c>
    </row>
    <row r="930" spans="6:7" x14ac:dyDescent="0.2">
      <c r="F930" s="421">
        <v>24373</v>
      </c>
      <c r="G930" s="421" t="s">
        <v>810</v>
      </c>
    </row>
    <row r="931" spans="6:7" x14ac:dyDescent="0.2">
      <c r="F931" s="421">
        <v>24419</v>
      </c>
      <c r="G931" s="421" t="s">
        <v>809</v>
      </c>
    </row>
    <row r="932" spans="6:7" x14ac:dyDescent="0.2">
      <c r="F932" s="421">
        <v>24423</v>
      </c>
      <c r="G932" s="421" t="s">
        <v>1712</v>
      </c>
    </row>
    <row r="933" spans="6:7" x14ac:dyDescent="0.2">
      <c r="F933" s="421">
        <v>24486</v>
      </c>
      <c r="G933" s="421" t="s">
        <v>2708</v>
      </c>
    </row>
    <row r="934" spans="6:7" x14ac:dyDescent="0.2">
      <c r="F934" s="421">
        <v>24533</v>
      </c>
      <c r="G934" s="421" t="s">
        <v>1713</v>
      </c>
    </row>
    <row r="935" spans="6:7" x14ac:dyDescent="0.2">
      <c r="F935" s="421">
        <v>24552</v>
      </c>
      <c r="G935" s="421" t="s">
        <v>1714</v>
      </c>
    </row>
    <row r="936" spans="6:7" x14ac:dyDescent="0.2">
      <c r="F936" s="421">
        <v>24557</v>
      </c>
      <c r="G936" s="421" t="s">
        <v>807</v>
      </c>
    </row>
    <row r="937" spans="6:7" x14ac:dyDescent="0.2">
      <c r="F937" s="421">
        <v>24561</v>
      </c>
      <c r="G937" s="421" t="s">
        <v>806</v>
      </c>
    </row>
    <row r="938" spans="6:7" x14ac:dyDescent="0.2">
      <c r="F938" s="421">
        <v>24562</v>
      </c>
      <c r="G938" s="421" t="s">
        <v>805</v>
      </c>
    </row>
    <row r="939" spans="6:7" x14ac:dyDescent="0.2">
      <c r="F939" s="421">
        <v>24565</v>
      </c>
      <c r="G939" s="421" t="s">
        <v>804</v>
      </c>
    </row>
    <row r="940" spans="6:7" x14ac:dyDescent="0.2">
      <c r="F940" s="421">
        <v>24566</v>
      </c>
      <c r="G940" s="421" t="s">
        <v>803</v>
      </c>
    </row>
    <row r="941" spans="6:7" x14ac:dyDescent="0.2">
      <c r="F941" s="421">
        <v>24570</v>
      </c>
      <c r="G941" s="421" t="s">
        <v>802</v>
      </c>
    </row>
    <row r="942" spans="6:7" x14ac:dyDescent="0.2">
      <c r="F942" s="421">
        <v>24572</v>
      </c>
      <c r="G942" s="421" t="s">
        <v>801</v>
      </c>
    </row>
    <row r="943" spans="6:7" x14ac:dyDescent="0.2">
      <c r="F943" s="421">
        <v>24576</v>
      </c>
      <c r="G943" s="421" t="s">
        <v>800</v>
      </c>
    </row>
    <row r="944" spans="6:7" x14ac:dyDescent="0.2">
      <c r="F944" s="421">
        <v>24580</v>
      </c>
      <c r="G944" s="421" t="s">
        <v>799</v>
      </c>
    </row>
    <row r="945" spans="6:7" x14ac:dyDescent="0.2">
      <c r="F945" s="421">
        <v>24581</v>
      </c>
      <c r="G945" s="421" t="s">
        <v>798</v>
      </c>
    </row>
    <row r="946" spans="6:7" x14ac:dyDescent="0.2">
      <c r="F946" s="421">
        <v>24582</v>
      </c>
      <c r="G946" s="421" t="s">
        <v>797</v>
      </c>
    </row>
    <row r="947" spans="6:7" x14ac:dyDescent="0.2">
      <c r="F947" s="421">
        <v>24585</v>
      </c>
      <c r="G947" s="421" t="s">
        <v>796</v>
      </c>
    </row>
    <row r="948" spans="6:7" x14ac:dyDescent="0.2">
      <c r="F948" s="421">
        <v>24587</v>
      </c>
      <c r="G948" s="421" t="s">
        <v>795</v>
      </c>
    </row>
    <row r="949" spans="6:7" x14ac:dyDescent="0.2">
      <c r="F949" s="421">
        <v>24589</v>
      </c>
      <c r="G949" s="421" t="s">
        <v>794</v>
      </c>
    </row>
    <row r="950" spans="6:7" x14ac:dyDescent="0.2">
      <c r="F950" s="421">
        <v>24590</v>
      </c>
      <c r="G950" s="421" t="s">
        <v>793</v>
      </c>
    </row>
    <row r="951" spans="6:7" x14ac:dyDescent="0.2">
      <c r="F951" s="421">
        <v>24591</v>
      </c>
      <c r="G951" s="421" t="s">
        <v>792</v>
      </c>
    </row>
    <row r="952" spans="6:7" x14ac:dyDescent="0.2">
      <c r="F952" s="421">
        <v>24593</v>
      </c>
      <c r="G952" s="421" t="s">
        <v>791</v>
      </c>
    </row>
    <row r="953" spans="6:7" x14ac:dyDescent="0.2">
      <c r="F953" s="421">
        <v>24596</v>
      </c>
      <c r="G953" s="421" t="s">
        <v>790</v>
      </c>
    </row>
    <row r="954" spans="6:7" x14ac:dyDescent="0.2">
      <c r="F954" s="421">
        <v>24597</v>
      </c>
      <c r="G954" s="421" t="s">
        <v>789</v>
      </c>
    </row>
    <row r="955" spans="6:7" x14ac:dyDescent="0.2">
      <c r="F955" s="421">
        <v>24598</v>
      </c>
      <c r="G955" s="421" t="s">
        <v>788</v>
      </c>
    </row>
    <row r="956" spans="6:7" x14ac:dyDescent="0.2">
      <c r="F956" s="421">
        <v>24599</v>
      </c>
      <c r="G956" s="421" t="s">
        <v>787</v>
      </c>
    </row>
    <row r="957" spans="6:7" x14ac:dyDescent="0.2">
      <c r="F957" s="421">
        <v>24600</v>
      </c>
      <c r="G957" s="421" t="s">
        <v>786</v>
      </c>
    </row>
    <row r="958" spans="6:7" x14ac:dyDescent="0.2">
      <c r="F958" s="421">
        <v>24603</v>
      </c>
      <c r="G958" s="421" t="s">
        <v>785</v>
      </c>
    </row>
    <row r="959" spans="6:7" x14ac:dyDescent="0.2">
      <c r="F959" s="421">
        <v>24604</v>
      </c>
      <c r="G959" s="421" t="s">
        <v>784</v>
      </c>
    </row>
    <row r="960" spans="6:7" x14ac:dyDescent="0.2">
      <c r="F960" s="421">
        <v>24605</v>
      </c>
      <c r="G960" s="421" t="s">
        <v>2709</v>
      </c>
    </row>
    <row r="961" spans="6:7" x14ac:dyDescent="0.2">
      <c r="F961" s="421">
        <v>24608</v>
      </c>
      <c r="G961" s="421" t="s">
        <v>783</v>
      </c>
    </row>
    <row r="962" spans="6:7" x14ac:dyDescent="0.2">
      <c r="F962" s="421">
        <v>24609</v>
      </c>
      <c r="G962" s="421" t="s">
        <v>782</v>
      </c>
    </row>
    <row r="963" spans="6:7" x14ac:dyDescent="0.2">
      <c r="F963" s="421">
        <v>24610</v>
      </c>
      <c r="G963" s="421" t="s">
        <v>781</v>
      </c>
    </row>
    <row r="964" spans="6:7" x14ac:dyDescent="0.2">
      <c r="F964" s="421">
        <v>24611</v>
      </c>
      <c r="G964" s="421" t="s">
        <v>780</v>
      </c>
    </row>
    <row r="965" spans="6:7" x14ac:dyDescent="0.2">
      <c r="F965" s="421">
        <v>24612</v>
      </c>
      <c r="G965" s="421" t="s">
        <v>779</v>
      </c>
    </row>
    <row r="966" spans="6:7" x14ac:dyDescent="0.2">
      <c r="F966" s="421">
        <v>24613</v>
      </c>
      <c r="G966" s="421" t="s">
        <v>778</v>
      </c>
    </row>
    <row r="967" spans="6:7" x14ac:dyDescent="0.2">
      <c r="F967" s="421">
        <v>24614</v>
      </c>
      <c r="G967" s="421" t="s">
        <v>777</v>
      </c>
    </row>
    <row r="968" spans="6:7" x14ac:dyDescent="0.2">
      <c r="F968" s="421">
        <v>24615</v>
      </c>
      <c r="G968" s="421" t="s">
        <v>776</v>
      </c>
    </row>
    <row r="969" spans="6:7" x14ac:dyDescent="0.2">
      <c r="F969" s="421">
        <v>24649</v>
      </c>
      <c r="G969" s="421" t="s">
        <v>775</v>
      </c>
    </row>
    <row r="970" spans="6:7" x14ac:dyDescent="0.2">
      <c r="F970" s="421">
        <v>24658</v>
      </c>
      <c r="G970" s="421" t="s">
        <v>774</v>
      </c>
    </row>
    <row r="971" spans="6:7" x14ac:dyDescent="0.2">
      <c r="F971" s="421">
        <v>24663</v>
      </c>
      <c r="G971" s="421" t="s">
        <v>773</v>
      </c>
    </row>
    <row r="972" spans="6:7" x14ac:dyDescent="0.2">
      <c r="F972" s="421">
        <v>24669</v>
      </c>
      <c r="G972" s="421" t="s">
        <v>772</v>
      </c>
    </row>
    <row r="973" spans="6:7" x14ac:dyDescent="0.2">
      <c r="F973" s="421">
        <v>24672</v>
      </c>
      <c r="G973" s="421" t="s">
        <v>771</v>
      </c>
    </row>
    <row r="974" spans="6:7" x14ac:dyDescent="0.2">
      <c r="F974" s="421">
        <v>24675</v>
      </c>
      <c r="G974" s="421" t="s">
        <v>770</v>
      </c>
    </row>
    <row r="975" spans="6:7" x14ac:dyDescent="0.2">
      <c r="F975" s="421">
        <v>24692</v>
      </c>
      <c r="G975" s="421" t="s">
        <v>769</v>
      </c>
    </row>
    <row r="976" spans="6:7" x14ac:dyDescent="0.2">
      <c r="F976" s="421">
        <v>24693</v>
      </c>
      <c r="G976" s="421" t="s">
        <v>768</v>
      </c>
    </row>
    <row r="977" spans="6:7" x14ac:dyDescent="0.2">
      <c r="F977" s="421">
        <v>24700</v>
      </c>
      <c r="G977" s="421" t="s">
        <v>767</v>
      </c>
    </row>
    <row r="978" spans="6:7" x14ac:dyDescent="0.2">
      <c r="F978" s="421">
        <v>24703</v>
      </c>
      <c r="G978" s="421" t="s">
        <v>2710</v>
      </c>
    </row>
    <row r="979" spans="6:7" x14ac:dyDescent="0.2">
      <c r="F979" s="421">
        <v>24725</v>
      </c>
      <c r="G979" s="421" t="s">
        <v>766</v>
      </c>
    </row>
    <row r="980" spans="6:7" x14ac:dyDescent="0.2">
      <c r="F980" s="421">
        <v>24729</v>
      </c>
      <c r="G980" s="421" t="s">
        <v>2711</v>
      </c>
    </row>
    <row r="981" spans="6:7" x14ac:dyDescent="0.2">
      <c r="F981" s="421">
        <v>24730</v>
      </c>
      <c r="G981" s="421" t="s">
        <v>3284</v>
      </c>
    </row>
    <row r="982" spans="6:7" x14ac:dyDescent="0.2">
      <c r="F982" s="421">
        <v>24759</v>
      </c>
      <c r="G982" s="421" t="s">
        <v>2712</v>
      </c>
    </row>
    <row r="983" spans="6:7" x14ac:dyDescent="0.2">
      <c r="F983" s="421">
        <v>24760</v>
      </c>
      <c r="G983" s="421" t="s">
        <v>765</v>
      </c>
    </row>
    <row r="984" spans="6:7" x14ac:dyDescent="0.2">
      <c r="F984" s="421">
        <v>24764</v>
      </c>
      <c r="G984" s="421" t="s">
        <v>764</v>
      </c>
    </row>
    <row r="985" spans="6:7" x14ac:dyDescent="0.2">
      <c r="F985" s="421">
        <v>24800</v>
      </c>
      <c r="G985" s="421" t="s">
        <v>763</v>
      </c>
    </row>
    <row r="986" spans="6:7" x14ac:dyDescent="0.2">
      <c r="F986" s="421">
        <v>24810</v>
      </c>
      <c r="G986" s="421" t="s">
        <v>762</v>
      </c>
    </row>
    <row r="987" spans="6:7" x14ac:dyDescent="0.2">
      <c r="F987" s="421">
        <v>24816</v>
      </c>
      <c r="G987" s="421" t="s">
        <v>2713</v>
      </c>
    </row>
    <row r="988" spans="6:7" x14ac:dyDescent="0.2">
      <c r="F988" s="421">
        <v>24849</v>
      </c>
      <c r="G988" s="421" t="s">
        <v>761</v>
      </c>
    </row>
    <row r="989" spans="6:7" x14ac:dyDescent="0.2">
      <c r="F989" s="421">
        <v>24894</v>
      </c>
      <c r="G989" s="421" t="s">
        <v>760</v>
      </c>
    </row>
    <row r="990" spans="6:7" x14ac:dyDescent="0.2">
      <c r="F990" s="421">
        <v>24907</v>
      </c>
      <c r="G990" s="421" t="s">
        <v>759</v>
      </c>
    </row>
    <row r="991" spans="6:7" x14ac:dyDescent="0.2">
      <c r="F991" s="421">
        <v>24910</v>
      </c>
      <c r="G991" s="421" t="s">
        <v>758</v>
      </c>
    </row>
    <row r="992" spans="6:7" x14ac:dyDescent="0.2">
      <c r="F992" s="421">
        <v>24912</v>
      </c>
      <c r="G992" s="421" t="s">
        <v>757</v>
      </c>
    </row>
    <row r="993" spans="6:7" x14ac:dyDescent="0.2">
      <c r="F993" s="421">
        <v>24920</v>
      </c>
      <c r="G993" s="421" t="s">
        <v>2714</v>
      </c>
    </row>
    <row r="994" spans="6:7" x14ac:dyDescent="0.2">
      <c r="F994" s="421">
        <v>24960</v>
      </c>
      <c r="G994" s="421" t="s">
        <v>1715</v>
      </c>
    </row>
    <row r="995" spans="6:7" x14ac:dyDescent="0.2">
      <c r="F995" s="421">
        <v>25017</v>
      </c>
      <c r="G995" s="421" t="s">
        <v>1716</v>
      </c>
    </row>
    <row r="996" spans="6:7" x14ac:dyDescent="0.2">
      <c r="F996" s="421">
        <v>25053</v>
      </c>
      <c r="G996" s="421" t="s">
        <v>2715</v>
      </c>
    </row>
    <row r="997" spans="6:7" x14ac:dyDescent="0.2">
      <c r="F997" s="421">
        <v>25118</v>
      </c>
      <c r="G997" s="421" t="s">
        <v>756</v>
      </c>
    </row>
    <row r="998" spans="6:7" x14ac:dyDescent="0.2">
      <c r="F998" s="421">
        <v>25232</v>
      </c>
      <c r="G998" s="421" t="s">
        <v>2716</v>
      </c>
    </row>
    <row r="999" spans="6:7" x14ac:dyDescent="0.2">
      <c r="F999" s="421">
        <v>25259</v>
      </c>
      <c r="G999" s="421" t="s">
        <v>755</v>
      </c>
    </row>
    <row r="1000" spans="6:7" x14ac:dyDescent="0.2">
      <c r="F1000" s="421">
        <v>25271</v>
      </c>
      <c r="G1000" s="421" t="s">
        <v>754</v>
      </c>
    </row>
    <row r="1001" spans="6:7" x14ac:dyDescent="0.2">
      <c r="F1001" s="421">
        <v>25274</v>
      </c>
      <c r="G1001" s="421" t="s">
        <v>1717</v>
      </c>
    </row>
    <row r="1002" spans="6:7" x14ac:dyDescent="0.2">
      <c r="F1002" s="421">
        <v>25304</v>
      </c>
      <c r="G1002" s="421" t="s">
        <v>753</v>
      </c>
    </row>
    <row r="1003" spans="6:7" x14ac:dyDescent="0.2">
      <c r="F1003" s="421">
        <v>25313</v>
      </c>
      <c r="G1003" s="421" t="s">
        <v>1718</v>
      </c>
    </row>
    <row r="1004" spans="6:7" x14ac:dyDescent="0.2">
      <c r="F1004" s="421">
        <v>25315</v>
      </c>
      <c r="G1004" s="421" t="s">
        <v>752</v>
      </c>
    </row>
    <row r="1005" spans="6:7" x14ac:dyDescent="0.2">
      <c r="F1005" s="421">
        <v>25320</v>
      </c>
      <c r="G1005" s="421" t="s">
        <v>751</v>
      </c>
    </row>
    <row r="1006" spans="6:7" x14ac:dyDescent="0.2">
      <c r="F1006" s="421">
        <v>25323</v>
      </c>
      <c r="G1006" s="421" t="s">
        <v>750</v>
      </c>
    </row>
    <row r="1007" spans="6:7" x14ac:dyDescent="0.2">
      <c r="F1007" s="421">
        <v>25324</v>
      </c>
      <c r="G1007" s="421" t="s">
        <v>749</v>
      </c>
    </row>
    <row r="1008" spans="6:7" x14ac:dyDescent="0.2">
      <c r="F1008" s="421">
        <v>25327</v>
      </c>
      <c r="G1008" s="421" t="s">
        <v>748</v>
      </c>
    </row>
    <row r="1009" spans="6:7" x14ac:dyDescent="0.2">
      <c r="F1009" s="421">
        <v>25328</v>
      </c>
      <c r="G1009" s="421" t="s">
        <v>747</v>
      </c>
    </row>
    <row r="1010" spans="6:7" x14ac:dyDescent="0.2">
      <c r="F1010" s="421">
        <v>25329</v>
      </c>
      <c r="G1010" s="421" t="s">
        <v>746</v>
      </c>
    </row>
    <row r="1011" spans="6:7" x14ac:dyDescent="0.2">
      <c r="F1011" s="421">
        <v>25340</v>
      </c>
      <c r="G1011" s="421" t="s">
        <v>745</v>
      </c>
    </row>
    <row r="1012" spans="6:7" x14ac:dyDescent="0.2">
      <c r="F1012" s="421">
        <v>25341</v>
      </c>
      <c r="G1012" s="421" t="s">
        <v>744</v>
      </c>
    </row>
    <row r="1013" spans="6:7" x14ac:dyDescent="0.2">
      <c r="F1013" s="421">
        <v>25343</v>
      </c>
      <c r="G1013" s="421" t="s">
        <v>743</v>
      </c>
    </row>
    <row r="1014" spans="6:7" x14ac:dyDescent="0.2">
      <c r="F1014" s="421">
        <v>25352</v>
      </c>
      <c r="G1014" s="421" t="s">
        <v>742</v>
      </c>
    </row>
    <row r="1015" spans="6:7" x14ac:dyDescent="0.2">
      <c r="F1015" s="421">
        <v>25353</v>
      </c>
      <c r="G1015" s="421" t="s">
        <v>741</v>
      </c>
    </row>
    <row r="1016" spans="6:7" x14ac:dyDescent="0.2">
      <c r="F1016" s="421">
        <v>25365</v>
      </c>
      <c r="G1016" s="421" t="s">
        <v>740</v>
      </c>
    </row>
    <row r="1017" spans="6:7" x14ac:dyDescent="0.2">
      <c r="F1017" s="421">
        <v>25391</v>
      </c>
      <c r="G1017" s="421" t="s">
        <v>739</v>
      </c>
    </row>
    <row r="1018" spans="6:7" x14ac:dyDescent="0.2">
      <c r="F1018" s="421">
        <v>25404</v>
      </c>
      <c r="G1018" s="421" t="s">
        <v>738</v>
      </c>
    </row>
    <row r="1019" spans="6:7" x14ac:dyDescent="0.2">
      <c r="F1019" s="421">
        <v>25407</v>
      </c>
      <c r="G1019" s="421" t="s">
        <v>737</v>
      </c>
    </row>
    <row r="1020" spans="6:7" x14ac:dyDescent="0.2">
      <c r="F1020" s="421">
        <v>25539</v>
      </c>
      <c r="G1020" s="421" t="s">
        <v>736</v>
      </c>
    </row>
    <row r="1021" spans="6:7" x14ac:dyDescent="0.2">
      <c r="F1021" s="421">
        <v>25578</v>
      </c>
      <c r="G1021" s="421" t="s">
        <v>735</v>
      </c>
    </row>
    <row r="1022" spans="6:7" x14ac:dyDescent="0.2">
      <c r="F1022" s="421">
        <v>25626</v>
      </c>
      <c r="G1022" s="421" t="s">
        <v>734</v>
      </c>
    </row>
    <row r="1023" spans="6:7" x14ac:dyDescent="0.2">
      <c r="F1023" s="421">
        <v>25650</v>
      </c>
      <c r="G1023" s="421" t="s">
        <v>733</v>
      </c>
    </row>
    <row r="1024" spans="6:7" x14ac:dyDescent="0.2">
      <c r="F1024" s="421">
        <v>25684</v>
      </c>
      <c r="G1024" s="421" t="s">
        <v>2717</v>
      </c>
    </row>
    <row r="1025" spans="6:7" x14ac:dyDescent="0.2">
      <c r="F1025" s="421">
        <v>25755</v>
      </c>
      <c r="G1025" s="421" t="s">
        <v>732</v>
      </c>
    </row>
    <row r="1026" spans="6:7" x14ac:dyDescent="0.2">
      <c r="F1026" s="421">
        <v>25761</v>
      </c>
      <c r="G1026" s="421" t="s">
        <v>731</v>
      </c>
    </row>
    <row r="1027" spans="6:7" x14ac:dyDescent="0.2">
      <c r="F1027" s="421">
        <v>25789</v>
      </c>
      <c r="G1027" s="421" t="s">
        <v>730</v>
      </c>
    </row>
    <row r="1028" spans="6:7" x14ac:dyDescent="0.2">
      <c r="F1028" s="421">
        <v>25796</v>
      </c>
      <c r="G1028" s="421" t="s">
        <v>729</v>
      </c>
    </row>
    <row r="1029" spans="6:7" x14ac:dyDescent="0.2">
      <c r="F1029" s="421">
        <v>25797</v>
      </c>
      <c r="G1029" s="421" t="s">
        <v>728</v>
      </c>
    </row>
    <row r="1030" spans="6:7" x14ac:dyDescent="0.2">
      <c r="F1030" s="421">
        <v>25805</v>
      </c>
      <c r="G1030" s="421" t="s">
        <v>727</v>
      </c>
    </row>
    <row r="1031" spans="6:7" x14ac:dyDescent="0.2">
      <c r="F1031" s="421">
        <v>25812</v>
      </c>
      <c r="G1031" s="421" t="s">
        <v>2718</v>
      </c>
    </row>
    <row r="1032" spans="6:7" x14ac:dyDescent="0.2">
      <c r="F1032" s="421">
        <v>25814</v>
      </c>
      <c r="G1032" s="421" t="s">
        <v>3285</v>
      </c>
    </row>
    <row r="1033" spans="6:7" x14ac:dyDescent="0.2">
      <c r="F1033" s="421">
        <v>25815</v>
      </c>
      <c r="G1033" s="421" t="s">
        <v>726</v>
      </c>
    </row>
    <row r="1034" spans="6:7" x14ac:dyDescent="0.2">
      <c r="F1034" s="421">
        <v>25819</v>
      </c>
      <c r="G1034" s="421" t="s">
        <v>725</v>
      </c>
    </row>
    <row r="1035" spans="6:7" x14ac:dyDescent="0.2">
      <c r="F1035" s="421">
        <v>25820</v>
      </c>
      <c r="G1035" s="421" t="s">
        <v>724</v>
      </c>
    </row>
    <row r="1036" spans="6:7" x14ac:dyDescent="0.2">
      <c r="F1036" s="421">
        <v>25821</v>
      </c>
      <c r="G1036" s="421" t="s">
        <v>723</v>
      </c>
    </row>
    <row r="1037" spans="6:7" x14ac:dyDescent="0.2">
      <c r="F1037" s="421">
        <v>25827</v>
      </c>
      <c r="G1037" s="421" t="s">
        <v>722</v>
      </c>
    </row>
    <row r="1038" spans="6:7" x14ac:dyDescent="0.2">
      <c r="F1038" s="421">
        <v>25830</v>
      </c>
      <c r="G1038" s="421" t="s">
        <v>721</v>
      </c>
    </row>
    <row r="1039" spans="6:7" x14ac:dyDescent="0.2">
      <c r="F1039" s="421">
        <v>25831</v>
      </c>
      <c r="G1039" s="421" t="s">
        <v>720</v>
      </c>
    </row>
    <row r="1040" spans="6:7" x14ac:dyDescent="0.2">
      <c r="F1040" s="421">
        <v>25832</v>
      </c>
      <c r="G1040" s="421" t="s">
        <v>719</v>
      </c>
    </row>
    <row r="1041" spans="6:7" x14ac:dyDescent="0.2">
      <c r="F1041" s="421">
        <v>25838</v>
      </c>
      <c r="G1041" s="421" t="s">
        <v>2719</v>
      </c>
    </row>
    <row r="1042" spans="6:7" x14ac:dyDescent="0.2">
      <c r="F1042" s="421">
        <v>25857</v>
      </c>
      <c r="G1042" s="421" t="s">
        <v>718</v>
      </c>
    </row>
    <row r="1043" spans="6:7" x14ac:dyDescent="0.2">
      <c r="F1043" s="421">
        <v>25859</v>
      </c>
      <c r="G1043" s="421" t="s">
        <v>717</v>
      </c>
    </row>
    <row r="1044" spans="6:7" x14ac:dyDescent="0.2">
      <c r="F1044" s="421">
        <v>25861</v>
      </c>
      <c r="G1044" s="421" t="s">
        <v>716</v>
      </c>
    </row>
    <row r="1045" spans="6:7" x14ac:dyDescent="0.2">
      <c r="F1045" s="421">
        <v>25862</v>
      </c>
      <c r="G1045" s="421" t="s">
        <v>715</v>
      </c>
    </row>
    <row r="1046" spans="6:7" x14ac:dyDescent="0.2">
      <c r="F1046" s="421">
        <v>25863</v>
      </c>
      <c r="G1046" s="421" t="s">
        <v>714</v>
      </c>
    </row>
    <row r="1047" spans="6:7" x14ac:dyDescent="0.2">
      <c r="F1047" s="421">
        <v>25865</v>
      </c>
      <c r="G1047" s="421" t="s">
        <v>3286</v>
      </c>
    </row>
    <row r="1048" spans="6:7" x14ac:dyDescent="0.2">
      <c r="F1048" s="421">
        <v>25868</v>
      </c>
      <c r="G1048" s="421" t="s">
        <v>713</v>
      </c>
    </row>
    <row r="1049" spans="6:7" x14ac:dyDescent="0.2">
      <c r="F1049" s="421">
        <v>25875</v>
      </c>
      <c r="G1049" s="421" t="s">
        <v>2720</v>
      </c>
    </row>
    <row r="1050" spans="6:7" x14ac:dyDescent="0.2">
      <c r="F1050" s="421">
        <v>25883</v>
      </c>
      <c r="G1050" s="421" t="s">
        <v>712</v>
      </c>
    </row>
    <row r="1051" spans="6:7" x14ac:dyDescent="0.2">
      <c r="F1051" s="421">
        <v>25884</v>
      </c>
      <c r="G1051" s="421" t="s">
        <v>711</v>
      </c>
    </row>
    <row r="1052" spans="6:7" x14ac:dyDescent="0.2">
      <c r="F1052" s="421">
        <v>25887</v>
      </c>
      <c r="G1052" s="421" t="s">
        <v>710</v>
      </c>
    </row>
    <row r="1053" spans="6:7" x14ac:dyDescent="0.2">
      <c r="F1053" s="421">
        <v>25888</v>
      </c>
      <c r="G1053" s="421" t="s">
        <v>709</v>
      </c>
    </row>
    <row r="1054" spans="6:7" x14ac:dyDescent="0.2">
      <c r="F1054" s="421">
        <v>25889</v>
      </c>
      <c r="G1054" s="421" t="s">
        <v>708</v>
      </c>
    </row>
    <row r="1055" spans="6:7" x14ac:dyDescent="0.2">
      <c r="F1055" s="421">
        <v>25893</v>
      </c>
      <c r="G1055" s="421" t="s">
        <v>707</v>
      </c>
    </row>
    <row r="1056" spans="6:7" x14ac:dyDescent="0.2">
      <c r="F1056" s="421">
        <v>25895</v>
      </c>
      <c r="G1056" s="421" t="s">
        <v>706</v>
      </c>
    </row>
    <row r="1057" spans="6:7" x14ac:dyDescent="0.2">
      <c r="F1057" s="421">
        <v>25898</v>
      </c>
      <c r="G1057" s="421" t="s">
        <v>3287</v>
      </c>
    </row>
    <row r="1058" spans="6:7" x14ac:dyDescent="0.2">
      <c r="F1058" s="421">
        <v>25910</v>
      </c>
      <c r="G1058" s="421" t="s">
        <v>705</v>
      </c>
    </row>
    <row r="1059" spans="6:7" x14ac:dyDescent="0.2">
      <c r="F1059" s="421">
        <v>25911</v>
      </c>
      <c r="G1059" s="421" t="s">
        <v>3288</v>
      </c>
    </row>
    <row r="1060" spans="6:7" x14ac:dyDescent="0.2">
      <c r="F1060" s="421">
        <v>25914</v>
      </c>
      <c r="G1060" s="421" t="s">
        <v>704</v>
      </c>
    </row>
    <row r="1061" spans="6:7" x14ac:dyDescent="0.2">
      <c r="F1061" s="421">
        <v>25923</v>
      </c>
      <c r="G1061" s="421" t="s">
        <v>703</v>
      </c>
    </row>
    <row r="1062" spans="6:7" x14ac:dyDescent="0.2">
      <c r="F1062" s="421">
        <v>25924</v>
      </c>
      <c r="G1062" s="421" t="s">
        <v>702</v>
      </c>
    </row>
    <row r="1063" spans="6:7" x14ac:dyDescent="0.2">
      <c r="F1063" s="421">
        <v>25928</v>
      </c>
      <c r="G1063" s="421" t="s">
        <v>701</v>
      </c>
    </row>
    <row r="1064" spans="6:7" x14ac:dyDescent="0.2">
      <c r="F1064" s="421">
        <v>25932</v>
      </c>
      <c r="G1064" s="421" t="s">
        <v>700</v>
      </c>
    </row>
    <row r="1065" spans="6:7" x14ac:dyDescent="0.2">
      <c r="F1065" s="421">
        <v>25933</v>
      </c>
      <c r="G1065" s="421" t="s">
        <v>699</v>
      </c>
    </row>
    <row r="1066" spans="6:7" x14ac:dyDescent="0.2">
      <c r="F1066" s="421">
        <v>25944</v>
      </c>
      <c r="G1066" s="421" t="s">
        <v>698</v>
      </c>
    </row>
    <row r="1067" spans="6:7" x14ac:dyDescent="0.2">
      <c r="F1067" s="421">
        <v>25950</v>
      </c>
      <c r="G1067" s="421" t="s">
        <v>697</v>
      </c>
    </row>
    <row r="1068" spans="6:7" x14ac:dyDescent="0.2">
      <c r="F1068" s="421">
        <v>25954</v>
      </c>
      <c r="G1068" s="421" t="s">
        <v>696</v>
      </c>
    </row>
    <row r="1069" spans="6:7" x14ac:dyDescent="0.2">
      <c r="F1069" s="421">
        <v>25957</v>
      </c>
      <c r="G1069" s="421" t="s">
        <v>695</v>
      </c>
    </row>
    <row r="1070" spans="6:7" x14ac:dyDescent="0.2">
      <c r="F1070" s="421">
        <v>25959</v>
      </c>
      <c r="G1070" s="421" t="s">
        <v>2721</v>
      </c>
    </row>
    <row r="1071" spans="6:7" x14ac:dyDescent="0.2">
      <c r="F1071" s="421">
        <v>25968</v>
      </c>
      <c r="G1071" s="421" t="s">
        <v>694</v>
      </c>
    </row>
    <row r="1072" spans="6:7" x14ac:dyDescent="0.2">
      <c r="F1072" s="421">
        <v>25970</v>
      </c>
      <c r="G1072" s="421" t="s">
        <v>693</v>
      </c>
    </row>
    <row r="1073" spans="6:7" x14ac:dyDescent="0.2">
      <c r="F1073" s="421">
        <v>25974</v>
      </c>
      <c r="G1073" s="421" t="s">
        <v>692</v>
      </c>
    </row>
    <row r="1074" spans="6:7" x14ac:dyDescent="0.2">
      <c r="F1074" s="421">
        <v>25978</v>
      </c>
      <c r="G1074" s="421" t="s">
        <v>691</v>
      </c>
    </row>
    <row r="1075" spans="6:7" x14ac:dyDescent="0.2">
      <c r="F1075" s="421">
        <v>25984</v>
      </c>
      <c r="G1075" s="421" t="s">
        <v>690</v>
      </c>
    </row>
    <row r="1076" spans="6:7" x14ac:dyDescent="0.2">
      <c r="F1076" s="421">
        <v>25991</v>
      </c>
      <c r="G1076" s="421" t="s">
        <v>689</v>
      </c>
    </row>
    <row r="1077" spans="6:7" x14ac:dyDescent="0.2">
      <c r="F1077" s="421">
        <v>25993</v>
      </c>
      <c r="G1077" s="421" t="s">
        <v>688</v>
      </c>
    </row>
    <row r="1078" spans="6:7" x14ac:dyDescent="0.2">
      <c r="F1078" s="421">
        <v>25997</v>
      </c>
      <c r="G1078" s="421" t="s">
        <v>687</v>
      </c>
    </row>
    <row r="1079" spans="6:7" x14ac:dyDescent="0.2">
      <c r="F1079" s="421">
        <v>26004</v>
      </c>
      <c r="G1079" s="421" t="s">
        <v>3289</v>
      </c>
    </row>
    <row r="1080" spans="6:7" x14ac:dyDescent="0.2">
      <c r="F1080" s="421">
        <v>26007</v>
      </c>
      <c r="G1080" s="421" t="s">
        <v>2876</v>
      </c>
    </row>
    <row r="1081" spans="6:7" x14ac:dyDescent="0.2">
      <c r="F1081" s="421">
        <v>26014</v>
      </c>
      <c r="G1081" s="421" t="s">
        <v>686</v>
      </c>
    </row>
    <row r="1082" spans="6:7" x14ac:dyDescent="0.2">
      <c r="F1082" s="421">
        <v>26019</v>
      </c>
      <c r="G1082" s="421" t="s">
        <v>685</v>
      </c>
    </row>
    <row r="1083" spans="6:7" x14ac:dyDescent="0.2">
      <c r="F1083" s="421">
        <v>26036</v>
      </c>
      <c r="G1083" s="421" t="s">
        <v>684</v>
      </c>
    </row>
    <row r="1084" spans="6:7" x14ac:dyDescent="0.2">
      <c r="F1084" s="421">
        <v>26053</v>
      </c>
      <c r="G1084" s="421" t="s">
        <v>683</v>
      </c>
    </row>
    <row r="1085" spans="6:7" x14ac:dyDescent="0.2">
      <c r="F1085" s="421">
        <v>26092</v>
      </c>
      <c r="G1085" s="421" t="s">
        <v>682</v>
      </c>
    </row>
    <row r="1086" spans="6:7" x14ac:dyDescent="0.2">
      <c r="F1086" s="421">
        <v>26117</v>
      </c>
      <c r="G1086" s="421" t="s">
        <v>681</v>
      </c>
    </row>
    <row r="1087" spans="6:7" x14ac:dyDescent="0.2">
      <c r="F1087" s="421">
        <v>26135</v>
      </c>
      <c r="G1087" s="421" t="s">
        <v>680</v>
      </c>
    </row>
    <row r="1088" spans="6:7" x14ac:dyDescent="0.2">
      <c r="F1088" s="421">
        <v>26136</v>
      </c>
      <c r="G1088" s="421" t="s">
        <v>679</v>
      </c>
    </row>
    <row r="1089" spans="6:7" x14ac:dyDescent="0.2">
      <c r="F1089" s="421">
        <v>26156</v>
      </c>
      <c r="G1089" s="421" t="s">
        <v>678</v>
      </c>
    </row>
    <row r="1090" spans="6:7" x14ac:dyDescent="0.2">
      <c r="F1090" s="421">
        <v>26194</v>
      </c>
      <c r="G1090" s="421" t="s">
        <v>677</v>
      </c>
    </row>
    <row r="1091" spans="6:7" x14ac:dyDescent="0.2">
      <c r="F1091" s="421">
        <v>26225</v>
      </c>
      <c r="G1091" s="421" t="s">
        <v>3290</v>
      </c>
    </row>
    <row r="1092" spans="6:7" x14ac:dyDescent="0.2">
      <c r="F1092" s="421">
        <v>26340</v>
      </c>
      <c r="G1092" s="421" t="s">
        <v>676</v>
      </c>
    </row>
    <row r="1093" spans="6:7" x14ac:dyDescent="0.2">
      <c r="F1093" s="421">
        <v>26530</v>
      </c>
      <c r="G1093" s="421" t="s">
        <v>675</v>
      </c>
    </row>
    <row r="1094" spans="6:7" x14ac:dyDescent="0.2">
      <c r="F1094" s="421">
        <v>26576</v>
      </c>
      <c r="G1094" s="421" t="s">
        <v>674</v>
      </c>
    </row>
    <row r="1095" spans="6:7" x14ac:dyDescent="0.2">
      <c r="F1095" s="421">
        <v>26592</v>
      </c>
      <c r="G1095" s="421" t="s">
        <v>673</v>
      </c>
    </row>
    <row r="1096" spans="6:7" x14ac:dyDescent="0.2">
      <c r="F1096" s="421">
        <v>26624</v>
      </c>
      <c r="G1096" s="421" t="s">
        <v>672</v>
      </c>
    </row>
    <row r="1097" spans="6:7" x14ac:dyDescent="0.2">
      <c r="F1097" s="421">
        <v>26637</v>
      </c>
      <c r="G1097" s="421" t="s">
        <v>671</v>
      </c>
    </row>
    <row r="1098" spans="6:7" x14ac:dyDescent="0.2">
      <c r="F1098" s="421">
        <v>26645</v>
      </c>
      <c r="G1098" s="421" t="s">
        <v>670</v>
      </c>
    </row>
    <row r="1099" spans="6:7" x14ac:dyDescent="0.2">
      <c r="F1099" s="421">
        <v>26652</v>
      </c>
      <c r="G1099" s="421" t="s">
        <v>669</v>
      </c>
    </row>
    <row r="1100" spans="6:7" x14ac:dyDescent="0.2">
      <c r="F1100" s="421">
        <v>26656</v>
      </c>
      <c r="G1100" s="421" t="s">
        <v>668</v>
      </c>
    </row>
    <row r="1101" spans="6:7" x14ac:dyDescent="0.2">
      <c r="F1101" s="421">
        <v>26688</v>
      </c>
      <c r="G1101" s="421" t="s">
        <v>667</v>
      </c>
    </row>
    <row r="1102" spans="6:7" x14ac:dyDescent="0.2">
      <c r="F1102" s="421">
        <v>26705</v>
      </c>
      <c r="G1102" s="421" t="s">
        <v>666</v>
      </c>
    </row>
    <row r="1103" spans="6:7" x14ac:dyDescent="0.2">
      <c r="F1103" s="421">
        <v>26747</v>
      </c>
      <c r="G1103" s="421" t="s">
        <v>665</v>
      </c>
    </row>
    <row r="1104" spans="6:7" x14ac:dyDescent="0.2">
      <c r="F1104" s="421">
        <v>26785</v>
      </c>
      <c r="G1104" s="421" t="s">
        <v>2722</v>
      </c>
    </row>
    <row r="1105" spans="6:7" x14ac:dyDescent="0.2">
      <c r="F1105" s="421">
        <v>26801</v>
      </c>
      <c r="G1105" s="421" t="s">
        <v>1719</v>
      </c>
    </row>
    <row r="1106" spans="6:7" x14ac:dyDescent="0.2">
      <c r="F1106" s="421">
        <v>26913</v>
      </c>
      <c r="G1106" s="421" t="s">
        <v>664</v>
      </c>
    </row>
    <row r="1107" spans="6:7" x14ac:dyDescent="0.2">
      <c r="F1107" s="421">
        <v>27081</v>
      </c>
      <c r="G1107" s="421" t="s">
        <v>663</v>
      </c>
    </row>
    <row r="1108" spans="6:7" x14ac:dyDescent="0.2">
      <c r="F1108" s="421">
        <v>27100</v>
      </c>
      <c r="G1108" s="421" t="s">
        <v>1720</v>
      </c>
    </row>
    <row r="1109" spans="6:7" x14ac:dyDescent="0.2">
      <c r="F1109" s="421">
        <v>27116</v>
      </c>
      <c r="G1109" s="421" t="s">
        <v>662</v>
      </c>
    </row>
    <row r="1110" spans="6:7" x14ac:dyDescent="0.2">
      <c r="F1110" s="421">
        <v>27152</v>
      </c>
      <c r="G1110" s="421" t="s">
        <v>2723</v>
      </c>
    </row>
    <row r="1111" spans="6:7" x14ac:dyDescent="0.2">
      <c r="F1111" s="421">
        <v>27202</v>
      </c>
      <c r="G1111" s="421" t="s">
        <v>661</v>
      </c>
    </row>
    <row r="1112" spans="6:7" x14ac:dyDescent="0.2">
      <c r="F1112" s="421">
        <v>27215</v>
      </c>
      <c r="G1112" s="421" t="s">
        <v>660</v>
      </c>
    </row>
    <row r="1113" spans="6:7" x14ac:dyDescent="0.2">
      <c r="F1113" s="421">
        <v>27228</v>
      </c>
      <c r="G1113" s="421" t="s">
        <v>659</v>
      </c>
    </row>
    <row r="1114" spans="6:7" x14ac:dyDescent="0.2">
      <c r="F1114" s="421">
        <v>27329</v>
      </c>
      <c r="G1114" s="421" t="s">
        <v>658</v>
      </c>
    </row>
    <row r="1115" spans="6:7" x14ac:dyDescent="0.2">
      <c r="F1115" s="421">
        <v>27366</v>
      </c>
      <c r="G1115" s="421" t="s">
        <v>3291</v>
      </c>
    </row>
    <row r="1116" spans="6:7" x14ac:dyDescent="0.2">
      <c r="F1116" s="421">
        <v>27441</v>
      </c>
      <c r="G1116" s="421" t="s">
        <v>657</v>
      </c>
    </row>
    <row r="1117" spans="6:7" x14ac:dyDescent="0.2">
      <c r="F1117" s="421">
        <v>27446</v>
      </c>
      <c r="G1117" s="421" t="s">
        <v>656</v>
      </c>
    </row>
    <row r="1118" spans="6:7" x14ac:dyDescent="0.2">
      <c r="F1118" s="421">
        <v>27473</v>
      </c>
      <c r="G1118" s="421" t="s">
        <v>655</v>
      </c>
    </row>
    <row r="1119" spans="6:7" x14ac:dyDescent="0.2">
      <c r="F1119" s="421">
        <v>27507</v>
      </c>
      <c r="G1119" s="421" t="s">
        <v>1721</v>
      </c>
    </row>
    <row r="1120" spans="6:7" x14ac:dyDescent="0.2">
      <c r="F1120" s="421">
        <v>27556</v>
      </c>
      <c r="G1120" s="421" t="s">
        <v>1722</v>
      </c>
    </row>
    <row r="1121" spans="6:7" x14ac:dyDescent="0.2">
      <c r="F1121" s="421">
        <v>27576</v>
      </c>
      <c r="G1121" s="421" t="s">
        <v>1723</v>
      </c>
    </row>
    <row r="1122" spans="6:7" x14ac:dyDescent="0.2">
      <c r="F1122" s="421">
        <v>27644</v>
      </c>
      <c r="G1122" s="421" t="s">
        <v>1724</v>
      </c>
    </row>
    <row r="1123" spans="6:7" x14ac:dyDescent="0.2">
      <c r="F1123" s="421">
        <v>27748</v>
      </c>
      <c r="G1123" s="421" t="s">
        <v>1725</v>
      </c>
    </row>
    <row r="1124" spans="6:7" x14ac:dyDescent="0.2">
      <c r="F1124" s="421">
        <v>27777</v>
      </c>
      <c r="G1124" s="421" t="s">
        <v>1726</v>
      </c>
    </row>
    <row r="1125" spans="6:7" x14ac:dyDescent="0.2">
      <c r="F1125" s="421">
        <v>27783</v>
      </c>
      <c r="G1125" s="421" t="s">
        <v>1727</v>
      </c>
    </row>
    <row r="1126" spans="6:7" x14ac:dyDescent="0.2">
      <c r="F1126" s="421">
        <v>27788</v>
      </c>
      <c r="G1126" s="421" t="s">
        <v>1728</v>
      </c>
    </row>
    <row r="1127" spans="6:7" x14ac:dyDescent="0.2">
      <c r="F1127" s="421">
        <v>27791</v>
      </c>
      <c r="G1127" s="421" t="s">
        <v>1729</v>
      </c>
    </row>
    <row r="1128" spans="6:7" x14ac:dyDescent="0.2">
      <c r="F1128" s="421">
        <v>27792</v>
      </c>
      <c r="G1128" s="421" t="s">
        <v>1730</v>
      </c>
    </row>
    <row r="1129" spans="6:7" x14ac:dyDescent="0.2">
      <c r="F1129" s="421">
        <v>27793</v>
      </c>
      <c r="G1129" s="421" t="s">
        <v>1731</v>
      </c>
    </row>
    <row r="1130" spans="6:7" x14ac:dyDescent="0.2">
      <c r="F1130" s="421">
        <v>27794</v>
      </c>
      <c r="G1130" s="421" t="s">
        <v>1732</v>
      </c>
    </row>
    <row r="1131" spans="6:7" x14ac:dyDescent="0.2">
      <c r="F1131" s="421">
        <v>27797</v>
      </c>
      <c r="G1131" s="421" t="s">
        <v>1733</v>
      </c>
    </row>
    <row r="1132" spans="6:7" x14ac:dyDescent="0.2">
      <c r="F1132" s="421">
        <v>27798</v>
      </c>
      <c r="G1132" s="421" t="s">
        <v>1734</v>
      </c>
    </row>
    <row r="1133" spans="6:7" x14ac:dyDescent="0.2">
      <c r="F1133" s="421">
        <v>27799</v>
      </c>
      <c r="G1133" s="421" t="s">
        <v>1735</v>
      </c>
    </row>
    <row r="1134" spans="6:7" x14ac:dyDescent="0.2">
      <c r="F1134" s="421">
        <v>27801</v>
      </c>
      <c r="G1134" s="421" t="s">
        <v>1736</v>
      </c>
    </row>
    <row r="1135" spans="6:7" x14ac:dyDescent="0.2">
      <c r="F1135" s="421">
        <v>27805</v>
      </c>
      <c r="G1135" s="421" t="s">
        <v>1737</v>
      </c>
    </row>
    <row r="1136" spans="6:7" x14ac:dyDescent="0.2">
      <c r="F1136" s="421">
        <v>27806</v>
      </c>
      <c r="G1136" s="421" t="s">
        <v>1738</v>
      </c>
    </row>
    <row r="1137" spans="6:7" x14ac:dyDescent="0.2">
      <c r="F1137" s="421">
        <v>27807</v>
      </c>
      <c r="G1137" s="421" t="s">
        <v>3292</v>
      </c>
    </row>
    <row r="1138" spans="6:7" x14ac:dyDescent="0.2">
      <c r="F1138" s="421">
        <v>27808</v>
      </c>
      <c r="G1138" s="421" t="s">
        <v>1739</v>
      </c>
    </row>
    <row r="1139" spans="6:7" x14ac:dyDescent="0.2">
      <c r="F1139" s="421">
        <v>27809</v>
      </c>
      <c r="G1139" s="421" t="s">
        <v>1740</v>
      </c>
    </row>
    <row r="1140" spans="6:7" x14ac:dyDescent="0.2">
      <c r="F1140" s="421">
        <v>27810</v>
      </c>
      <c r="G1140" s="421" t="s">
        <v>1741</v>
      </c>
    </row>
    <row r="1141" spans="6:7" x14ac:dyDescent="0.2">
      <c r="F1141" s="421">
        <v>27812</v>
      </c>
      <c r="G1141" s="421" t="s">
        <v>1742</v>
      </c>
    </row>
    <row r="1142" spans="6:7" x14ac:dyDescent="0.2">
      <c r="F1142" s="421">
        <v>27813</v>
      </c>
      <c r="G1142" s="421" t="s">
        <v>1743</v>
      </c>
    </row>
    <row r="1143" spans="6:7" x14ac:dyDescent="0.2">
      <c r="F1143" s="421">
        <v>27814</v>
      </c>
      <c r="G1143" s="421" t="s">
        <v>1744</v>
      </c>
    </row>
    <row r="1144" spans="6:7" x14ac:dyDescent="0.2">
      <c r="F1144" s="421">
        <v>27816</v>
      </c>
      <c r="G1144" s="421" t="s">
        <v>1745</v>
      </c>
    </row>
    <row r="1145" spans="6:7" x14ac:dyDescent="0.2">
      <c r="F1145" s="421">
        <v>27817</v>
      </c>
      <c r="G1145" s="421" t="s">
        <v>1746</v>
      </c>
    </row>
    <row r="1146" spans="6:7" x14ac:dyDescent="0.2">
      <c r="F1146" s="421">
        <v>27818</v>
      </c>
      <c r="G1146" s="421" t="s">
        <v>1747</v>
      </c>
    </row>
    <row r="1147" spans="6:7" x14ac:dyDescent="0.2">
      <c r="F1147" s="421">
        <v>27824</v>
      </c>
      <c r="G1147" s="421" t="s">
        <v>2724</v>
      </c>
    </row>
    <row r="1148" spans="6:7" x14ac:dyDescent="0.2">
      <c r="F1148" s="421">
        <v>27825</v>
      </c>
      <c r="G1148" s="421" t="s">
        <v>1748</v>
      </c>
    </row>
    <row r="1149" spans="6:7" x14ac:dyDescent="0.2">
      <c r="F1149" s="421">
        <v>27831</v>
      </c>
      <c r="G1149" s="421" t="s">
        <v>1749</v>
      </c>
    </row>
    <row r="1150" spans="6:7" x14ac:dyDescent="0.2">
      <c r="F1150" s="421">
        <v>27832</v>
      </c>
      <c r="G1150" s="421" t="s">
        <v>1750</v>
      </c>
    </row>
    <row r="1151" spans="6:7" x14ac:dyDescent="0.2">
      <c r="F1151" s="421">
        <v>27834</v>
      </c>
      <c r="G1151" s="421" t="s">
        <v>1751</v>
      </c>
    </row>
    <row r="1152" spans="6:7" x14ac:dyDescent="0.2">
      <c r="F1152" s="421">
        <v>27835</v>
      </c>
      <c r="G1152" s="421" t="s">
        <v>1752</v>
      </c>
    </row>
    <row r="1153" spans="6:7" x14ac:dyDescent="0.2">
      <c r="F1153" s="421">
        <v>27839</v>
      </c>
      <c r="G1153" s="421" t="s">
        <v>1753</v>
      </c>
    </row>
    <row r="1154" spans="6:7" x14ac:dyDescent="0.2">
      <c r="F1154" s="421">
        <v>27840</v>
      </c>
      <c r="G1154" s="421" t="s">
        <v>1754</v>
      </c>
    </row>
    <row r="1155" spans="6:7" x14ac:dyDescent="0.2">
      <c r="F1155" s="421">
        <v>27841</v>
      </c>
      <c r="G1155" s="421" t="s">
        <v>1755</v>
      </c>
    </row>
    <row r="1156" spans="6:7" x14ac:dyDescent="0.2">
      <c r="F1156" s="421">
        <v>27842</v>
      </c>
      <c r="G1156" s="421" t="s">
        <v>1756</v>
      </c>
    </row>
    <row r="1157" spans="6:7" x14ac:dyDescent="0.2">
      <c r="F1157" s="421">
        <v>27844</v>
      </c>
      <c r="G1157" s="421" t="s">
        <v>1757</v>
      </c>
    </row>
    <row r="1158" spans="6:7" x14ac:dyDescent="0.2">
      <c r="F1158" s="421">
        <v>27845</v>
      </c>
      <c r="G1158" s="421" t="s">
        <v>1758</v>
      </c>
    </row>
    <row r="1159" spans="6:7" x14ac:dyDescent="0.2">
      <c r="F1159" s="421">
        <v>27849</v>
      </c>
      <c r="G1159" s="421" t="s">
        <v>1759</v>
      </c>
    </row>
    <row r="1160" spans="6:7" x14ac:dyDescent="0.2">
      <c r="F1160" s="421">
        <v>27852</v>
      </c>
      <c r="G1160" s="421" t="s">
        <v>1760</v>
      </c>
    </row>
    <row r="1161" spans="6:7" x14ac:dyDescent="0.2">
      <c r="F1161" s="421">
        <v>27856</v>
      </c>
      <c r="G1161" s="421" t="s">
        <v>1761</v>
      </c>
    </row>
    <row r="1162" spans="6:7" x14ac:dyDescent="0.2">
      <c r="F1162" s="421">
        <v>27858</v>
      </c>
      <c r="G1162" s="421" t="s">
        <v>1762</v>
      </c>
    </row>
    <row r="1163" spans="6:7" x14ac:dyDescent="0.2">
      <c r="F1163" s="421">
        <v>27861</v>
      </c>
      <c r="G1163" s="421" t="s">
        <v>1763</v>
      </c>
    </row>
    <row r="1164" spans="6:7" x14ac:dyDescent="0.2">
      <c r="F1164" s="421">
        <v>27862</v>
      </c>
      <c r="G1164" s="421" t="s">
        <v>1764</v>
      </c>
    </row>
    <row r="1165" spans="6:7" x14ac:dyDescent="0.2">
      <c r="F1165" s="421">
        <v>27866</v>
      </c>
      <c r="G1165" s="421" t="s">
        <v>1765</v>
      </c>
    </row>
    <row r="1166" spans="6:7" x14ac:dyDescent="0.2">
      <c r="F1166" s="421">
        <v>27867</v>
      </c>
      <c r="G1166" s="421" t="s">
        <v>1766</v>
      </c>
    </row>
    <row r="1167" spans="6:7" x14ac:dyDescent="0.2">
      <c r="F1167" s="421">
        <v>27871</v>
      </c>
      <c r="G1167" s="421" t="s">
        <v>1767</v>
      </c>
    </row>
    <row r="1168" spans="6:7" x14ac:dyDescent="0.2">
      <c r="F1168" s="421">
        <v>27872</v>
      </c>
      <c r="G1168" s="421" t="s">
        <v>1768</v>
      </c>
    </row>
    <row r="1169" spans="6:7" x14ac:dyDescent="0.2">
      <c r="F1169" s="421">
        <v>27873</v>
      </c>
      <c r="G1169" s="421" t="s">
        <v>1769</v>
      </c>
    </row>
    <row r="1170" spans="6:7" x14ac:dyDescent="0.2">
      <c r="F1170" s="421">
        <v>27875</v>
      </c>
      <c r="G1170" s="421" t="s">
        <v>1770</v>
      </c>
    </row>
    <row r="1171" spans="6:7" x14ac:dyDescent="0.2">
      <c r="F1171" s="421">
        <v>27876</v>
      </c>
      <c r="G1171" s="421" t="s">
        <v>1771</v>
      </c>
    </row>
    <row r="1172" spans="6:7" x14ac:dyDescent="0.2">
      <c r="F1172" s="421">
        <v>27885</v>
      </c>
      <c r="G1172" s="421" t="s">
        <v>1772</v>
      </c>
    </row>
    <row r="1173" spans="6:7" x14ac:dyDescent="0.2">
      <c r="F1173" s="421">
        <v>27889</v>
      </c>
      <c r="G1173" s="421" t="s">
        <v>1773</v>
      </c>
    </row>
    <row r="1174" spans="6:7" x14ac:dyDescent="0.2">
      <c r="F1174" s="421">
        <v>27890</v>
      </c>
      <c r="G1174" s="421" t="s">
        <v>1774</v>
      </c>
    </row>
    <row r="1175" spans="6:7" x14ac:dyDescent="0.2">
      <c r="F1175" s="421">
        <v>27891</v>
      </c>
      <c r="G1175" s="421" t="s">
        <v>1775</v>
      </c>
    </row>
    <row r="1176" spans="6:7" x14ac:dyDescent="0.2">
      <c r="F1176" s="421">
        <v>27893</v>
      </c>
      <c r="G1176" s="421" t="s">
        <v>1776</v>
      </c>
    </row>
    <row r="1177" spans="6:7" x14ac:dyDescent="0.2">
      <c r="F1177" s="421">
        <v>27897</v>
      </c>
      <c r="G1177" s="421" t="s">
        <v>1777</v>
      </c>
    </row>
    <row r="1178" spans="6:7" x14ac:dyDescent="0.2">
      <c r="F1178" s="421">
        <v>27898</v>
      </c>
      <c r="G1178" s="421" t="s">
        <v>1778</v>
      </c>
    </row>
    <row r="1179" spans="6:7" x14ac:dyDescent="0.2">
      <c r="F1179" s="421">
        <v>27901</v>
      </c>
      <c r="G1179" s="421" t="s">
        <v>2725</v>
      </c>
    </row>
    <row r="1180" spans="6:7" x14ac:dyDescent="0.2">
      <c r="F1180" s="421">
        <v>27906</v>
      </c>
      <c r="G1180" s="421" t="s">
        <v>1779</v>
      </c>
    </row>
    <row r="1181" spans="6:7" x14ac:dyDescent="0.2">
      <c r="F1181" s="421">
        <v>27907</v>
      </c>
      <c r="G1181" s="421" t="s">
        <v>2726</v>
      </c>
    </row>
    <row r="1182" spans="6:7" x14ac:dyDescent="0.2">
      <c r="F1182" s="421">
        <v>27910</v>
      </c>
      <c r="G1182" s="421" t="s">
        <v>1780</v>
      </c>
    </row>
    <row r="1183" spans="6:7" x14ac:dyDescent="0.2">
      <c r="F1183" s="421">
        <v>27913</v>
      </c>
      <c r="G1183" s="421" t="s">
        <v>1781</v>
      </c>
    </row>
    <row r="1184" spans="6:7" x14ac:dyDescent="0.2">
      <c r="F1184" s="421">
        <v>27914</v>
      </c>
      <c r="G1184" s="421" t="s">
        <v>1782</v>
      </c>
    </row>
    <row r="1185" spans="6:7" x14ac:dyDescent="0.2">
      <c r="F1185" s="421">
        <v>27915</v>
      </c>
      <c r="G1185" s="421" t="s">
        <v>1783</v>
      </c>
    </row>
    <row r="1186" spans="6:7" x14ac:dyDescent="0.2">
      <c r="F1186" s="421">
        <v>27916</v>
      </c>
      <c r="G1186" s="421" t="s">
        <v>1784</v>
      </c>
    </row>
    <row r="1187" spans="6:7" x14ac:dyDescent="0.2">
      <c r="F1187" s="421">
        <v>27918</v>
      </c>
      <c r="G1187" s="421" t="s">
        <v>1785</v>
      </c>
    </row>
    <row r="1188" spans="6:7" x14ac:dyDescent="0.2">
      <c r="F1188" s="421">
        <v>27920</v>
      </c>
      <c r="G1188" s="421" t="s">
        <v>1786</v>
      </c>
    </row>
    <row r="1189" spans="6:7" x14ac:dyDescent="0.2">
      <c r="F1189" s="421">
        <v>27921</v>
      </c>
      <c r="G1189" s="421" t="s">
        <v>1787</v>
      </c>
    </row>
    <row r="1190" spans="6:7" x14ac:dyDescent="0.2">
      <c r="F1190" s="421">
        <v>27922</v>
      </c>
      <c r="G1190" s="421" t="s">
        <v>1788</v>
      </c>
    </row>
    <row r="1191" spans="6:7" x14ac:dyDescent="0.2">
      <c r="F1191" s="421">
        <v>27926</v>
      </c>
      <c r="G1191" s="421" t="s">
        <v>1789</v>
      </c>
    </row>
    <row r="1192" spans="6:7" x14ac:dyDescent="0.2">
      <c r="F1192" s="421">
        <v>27929</v>
      </c>
      <c r="G1192" s="421" t="s">
        <v>1790</v>
      </c>
    </row>
    <row r="1193" spans="6:7" x14ac:dyDescent="0.2">
      <c r="F1193" s="421">
        <v>27930</v>
      </c>
      <c r="G1193" s="421" t="s">
        <v>1791</v>
      </c>
    </row>
    <row r="1194" spans="6:7" x14ac:dyDescent="0.2">
      <c r="F1194" s="421">
        <v>27931</v>
      </c>
      <c r="G1194" s="421" t="s">
        <v>3293</v>
      </c>
    </row>
    <row r="1195" spans="6:7" x14ac:dyDescent="0.2">
      <c r="F1195" s="421">
        <v>27932</v>
      </c>
      <c r="G1195" s="421" t="s">
        <v>1792</v>
      </c>
    </row>
    <row r="1196" spans="6:7" x14ac:dyDescent="0.2">
      <c r="F1196" s="421">
        <v>27936</v>
      </c>
      <c r="G1196" s="421" t="s">
        <v>1793</v>
      </c>
    </row>
    <row r="1197" spans="6:7" x14ac:dyDescent="0.2">
      <c r="F1197" s="421">
        <v>27937</v>
      </c>
      <c r="G1197" s="421" t="s">
        <v>1794</v>
      </c>
    </row>
    <row r="1198" spans="6:7" x14ac:dyDescent="0.2">
      <c r="F1198" s="421">
        <v>27939</v>
      </c>
      <c r="G1198" s="421" t="s">
        <v>808</v>
      </c>
    </row>
    <row r="1199" spans="6:7" x14ac:dyDescent="0.2">
      <c r="F1199" s="421">
        <v>27945</v>
      </c>
      <c r="G1199" s="421" t="s">
        <v>1795</v>
      </c>
    </row>
    <row r="1200" spans="6:7" x14ac:dyDescent="0.2">
      <c r="F1200" s="421">
        <v>27948</v>
      </c>
      <c r="G1200" s="421" t="s">
        <v>1796</v>
      </c>
    </row>
    <row r="1201" spans="6:7" x14ac:dyDescent="0.2">
      <c r="F1201" s="421">
        <v>27949</v>
      </c>
      <c r="G1201" s="421" t="s">
        <v>1797</v>
      </c>
    </row>
    <row r="1202" spans="6:7" x14ac:dyDescent="0.2">
      <c r="F1202" s="421">
        <v>27950</v>
      </c>
      <c r="G1202" s="421" t="s">
        <v>1798</v>
      </c>
    </row>
    <row r="1203" spans="6:7" x14ac:dyDescent="0.2">
      <c r="F1203" s="421">
        <v>27953</v>
      </c>
      <c r="G1203" s="421" t="s">
        <v>1799</v>
      </c>
    </row>
    <row r="1204" spans="6:7" x14ac:dyDescent="0.2">
      <c r="F1204" s="421">
        <v>27954</v>
      </c>
      <c r="G1204" s="421" t="s">
        <v>1800</v>
      </c>
    </row>
    <row r="1205" spans="6:7" x14ac:dyDescent="0.2">
      <c r="F1205" s="421">
        <v>27956</v>
      </c>
      <c r="G1205" s="421" t="s">
        <v>1801</v>
      </c>
    </row>
    <row r="1206" spans="6:7" x14ac:dyDescent="0.2">
      <c r="F1206" s="421">
        <v>27957</v>
      </c>
      <c r="G1206" s="421" t="s">
        <v>1802</v>
      </c>
    </row>
    <row r="1207" spans="6:7" x14ac:dyDescent="0.2">
      <c r="F1207" s="421">
        <v>27959</v>
      </c>
      <c r="G1207" s="421" t="s">
        <v>1803</v>
      </c>
    </row>
    <row r="1208" spans="6:7" x14ac:dyDescent="0.2">
      <c r="F1208" s="421">
        <v>27960</v>
      </c>
      <c r="G1208" s="421" t="s">
        <v>1804</v>
      </c>
    </row>
    <row r="1209" spans="6:7" x14ac:dyDescent="0.2">
      <c r="F1209" s="421">
        <v>27961</v>
      </c>
      <c r="G1209" s="421" t="s">
        <v>1805</v>
      </c>
    </row>
    <row r="1210" spans="6:7" x14ac:dyDescent="0.2">
      <c r="F1210" s="421">
        <v>27963</v>
      </c>
      <c r="G1210" s="421" t="s">
        <v>1806</v>
      </c>
    </row>
    <row r="1211" spans="6:7" x14ac:dyDescent="0.2">
      <c r="F1211" s="421">
        <v>27964</v>
      </c>
      <c r="G1211" s="421" t="s">
        <v>1807</v>
      </c>
    </row>
    <row r="1212" spans="6:7" x14ac:dyDescent="0.2">
      <c r="F1212" s="421">
        <v>27968</v>
      </c>
      <c r="G1212" s="421" t="s">
        <v>1808</v>
      </c>
    </row>
    <row r="1213" spans="6:7" x14ac:dyDescent="0.2">
      <c r="F1213" s="421">
        <v>27969</v>
      </c>
      <c r="G1213" s="421" t="s">
        <v>1809</v>
      </c>
    </row>
    <row r="1214" spans="6:7" x14ac:dyDescent="0.2">
      <c r="F1214" s="421">
        <v>27970</v>
      </c>
      <c r="G1214" s="421" t="s">
        <v>1810</v>
      </c>
    </row>
    <row r="1215" spans="6:7" x14ac:dyDescent="0.2">
      <c r="F1215" s="421">
        <v>27972</v>
      </c>
      <c r="G1215" s="421" t="s">
        <v>1811</v>
      </c>
    </row>
    <row r="1216" spans="6:7" x14ac:dyDescent="0.2">
      <c r="F1216" s="421">
        <v>27975</v>
      </c>
      <c r="G1216" s="421" t="s">
        <v>1812</v>
      </c>
    </row>
    <row r="1217" spans="6:7" x14ac:dyDescent="0.2">
      <c r="F1217" s="421">
        <v>27983</v>
      </c>
      <c r="G1217" s="421" t="s">
        <v>1813</v>
      </c>
    </row>
    <row r="1218" spans="6:7" x14ac:dyDescent="0.2">
      <c r="F1218" s="421">
        <v>27984</v>
      </c>
      <c r="G1218" s="421" t="s">
        <v>1814</v>
      </c>
    </row>
    <row r="1219" spans="6:7" x14ac:dyDescent="0.2">
      <c r="F1219" s="421">
        <v>27986</v>
      </c>
      <c r="G1219" s="421" t="s">
        <v>1815</v>
      </c>
    </row>
    <row r="1220" spans="6:7" x14ac:dyDescent="0.2">
      <c r="F1220" s="421">
        <v>27987</v>
      </c>
      <c r="G1220" s="421" t="s">
        <v>1816</v>
      </c>
    </row>
    <row r="1221" spans="6:7" x14ac:dyDescent="0.2">
      <c r="F1221" s="421">
        <v>27988</v>
      </c>
      <c r="G1221" s="421" t="s">
        <v>1817</v>
      </c>
    </row>
    <row r="1222" spans="6:7" x14ac:dyDescent="0.2">
      <c r="F1222" s="421">
        <v>27989</v>
      </c>
      <c r="G1222" s="421" t="s">
        <v>1818</v>
      </c>
    </row>
    <row r="1223" spans="6:7" x14ac:dyDescent="0.2">
      <c r="F1223" s="421">
        <v>27990</v>
      </c>
      <c r="G1223" s="421" t="s">
        <v>1819</v>
      </c>
    </row>
    <row r="1224" spans="6:7" x14ac:dyDescent="0.2">
      <c r="F1224" s="421">
        <v>27992</v>
      </c>
      <c r="G1224" s="421" t="s">
        <v>1820</v>
      </c>
    </row>
    <row r="1225" spans="6:7" x14ac:dyDescent="0.2">
      <c r="F1225" s="421">
        <v>27993</v>
      </c>
      <c r="G1225" s="421" t="s">
        <v>3294</v>
      </c>
    </row>
    <row r="1226" spans="6:7" x14ac:dyDescent="0.2">
      <c r="F1226" s="421">
        <v>27996</v>
      </c>
      <c r="G1226" s="421" t="s">
        <v>1821</v>
      </c>
    </row>
    <row r="1227" spans="6:7" x14ac:dyDescent="0.2">
      <c r="F1227" s="421">
        <v>27999</v>
      </c>
      <c r="G1227" s="421" t="s">
        <v>1822</v>
      </c>
    </row>
    <row r="1228" spans="6:7" x14ac:dyDescent="0.2">
      <c r="F1228" s="421">
        <v>28000</v>
      </c>
      <c r="G1228" s="421" t="s">
        <v>1823</v>
      </c>
    </row>
    <row r="1229" spans="6:7" x14ac:dyDescent="0.2">
      <c r="F1229" s="421">
        <v>28001</v>
      </c>
      <c r="G1229" s="421" t="s">
        <v>1824</v>
      </c>
    </row>
    <row r="1230" spans="6:7" x14ac:dyDescent="0.2">
      <c r="F1230" s="421">
        <v>28003</v>
      </c>
      <c r="G1230" s="421" t="s">
        <v>1825</v>
      </c>
    </row>
    <row r="1231" spans="6:7" x14ac:dyDescent="0.2">
      <c r="F1231" s="421">
        <v>28004</v>
      </c>
      <c r="G1231" s="421" t="s">
        <v>3070</v>
      </c>
    </row>
    <row r="1232" spans="6:7" x14ac:dyDescent="0.2">
      <c r="F1232" s="421">
        <v>28005</v>
      </c>
      <c r="G1232" s="421" t="s">
        <v>1826</v>
      </c>
    </row>
    <row r="1233" spans="6:7" x14ac:dyDescent="0.2">
      <c r="F1233" s="421">
        <v>28006</v>
      </c>
      <c r="G1233" s="421" t="s">
        <v>1827</v>
      </c>
    </row>
    <row r="1234" spans="6:7" x14ac:dyDescent="0.2">
      <c r="F1234" s="421">
        <v>28009</v>
      </c>
      <c r="G1234" s="421" t="s">
        <v>1828</v>
      </c>
    </row>
    <row r="1235" spans="6:7" x14ac:dyDescent="0.2">
      <c r="F1235" s="421">
        <v>28012</v>
      </c>
      <c r="G1235" s="421" t="s">
        <v>1829</v>
      </c>
    </row>
    <row r="1236" spans="6:7" x14ac:dyDescent="0.2">
      <c r="F1236" s="421">
        <v>28013</v>
      </c>
      <c r="G1236" s="421" t="s">
        <v>2727</v>
      </c>
    </row>
    <row r="1237" spans="6:7" x14ac:dyDescent="0.2">
      <c r="F1237" s="421">
        <v>28014</v>
      </c>
      <c r="G1237" s="421" t="s">
        <v>1830</v>
      </c>
    </row>
    <row r="1238" spans="6:7" x14ac:dyDescent="0.2">
      <c r="F1238" s="421">
        <v>28015</v>
      </c>
      <c r="G1238" s="421" t="s">
        <v>2728</v>
      </c>
    </row>
    <row r="1239" spans="6:7" x14ac:dyDescent="0.2">
      <c r="F1239" s="421">
        <v>28016</v>
      </c>
      <c r="G1239" s="421" t="s">
        <v>1831</v>
      </c>
    </row>
    <row r="1240" spans="6:7" x14ac:dyDescent="0.2">
      <c r="F1240" s="421">
        <v>28017</v>
      </c>
      <c r="G1240" s="421" t="s">
        <v>1832</v>
      </c>
    </row>
    <row r="1241" spans="6:7" x14ac:dyDescent="0.2">
      <c r="F1241" s="421">
        <v>28018</v>
      </c>
      <c r="G1241" s="421" t="s">
        <v>2879</v>
      </c>
    </row>
    <row r="1242" spans="6:7" x14ac:dyDescent="0.2">
      <c r="F1242" s="421">
        <v>28019</v>
      </c>
      <c r="G1242" s="421" t="s">
        <v>1833</v>
      </c>
    </row>
    <row r="1243" spans="6:7" x14ac:dyDescent="0.2">
      <c r="F1243" s="421">
        <v>28020</v>
      </c>
      <c r="G1243" s="421" t="s">
        <v>1834</v>
      </c>
    </row>
    <row r="1244" spans="6:7" x14ac:dyDescent="0.2">
      <c r="F1244" s="421">
        <v>28021</v>
      </c>
      <c r="G1244" s="421" t="s">
        <v>1835</v>
      </c>
    </row>
    <row r="1245" spans="6:7" x14ac:dyDescent="0.2">
      <c r="F1245" s="421">
        <v>28023</v>
      </c>
      <c r="G1245" s="421" t="s">
        <v>3295</v>
      </c>
    </row>
    <row r="1246" spans="6:7" x14ac:dyDescent="0.2">
      <c r="F1246" s="421">
        <v>28024</v>
      </c>
      <c r="G1246" s="421" t="s">
        <v>1836</v>
      </c>
    </row>
    <row r="1247" spans="6:7" x14ac:dyDescent="0.2">
      <c r="F1247" s="421">
        <v>28025</v>
      </c>
      <c r="G1247" s="421" t="s">
        <v>1837</v>
      </c>
    </row>
    <row r="1248" spans="6:7" x14ac:dyDescent="0.2">
      <c r="F1248" s="421">
        <v>28026</v>
      </c>
      <c r="G1248" s="421" t="s">
        <v>1838</v>
      </c>
    </row>
    <row r="1249" spans="6:7" x14ac:dyDescent="0.2">
      <c r="F1249" s="421">
        <v>28027</v>
      </c>
      <c r="G1249" s="421" t="s">
        <v>1839</v>
      </c>
    </row>
    <row r="1250" spans="6:7" x14ac:dyDescent="0.2">
      <c r="F1250" s="421">
        <v>28028</v>
      </c>
      <c r="G1250" s="421" t="s">
        <v>1840</v>
      </c>
    </row>
    <row r="1251" spans="6:7" x14ac:dyDescent="0.2">
      <c r="F1251" s="421">
        <v>28031</v>
      </c>
      <c r="G1251" s="421" t="s">
        <v>1841</v>
      </c>
    </row>
    <row r="1252" spans="6:7" x14ac:dyDescent="0.2">
      <c r="F1252" s="421">
        <v>28034</v>
      </c>
      <c r="G1252" s="421" t="s">
        <v>1842</v>
      </c>
    </row>
    <row r="1253" spans="6:7" x14ac:dyDescent="0.2">
      <c r="F1253" s="421">
        <v>28035</v>
      </c>
      <c r="G1253" s="421" t="s">
        <v>1843</v>
      </c>
    </row>
    <row r="1254" spans="6:7" x14ac:dyDescent="0.2">
      <c r="F1254" s="421">
        <v>28036</v>
      </c>
      <c r="G1254" s="421" t="s">
        <v>1844</v>
      </c>
    </row>
    <row r="1255" spans="6:7" x14ac:dyDescent="0.2">
      <c r="F1255" s="421">
        <v>28037</v>
      </c>
      <c r="G1255" s="421" t="s">
        <v>1845</v>
      </c>
    </row>
    <row r="1256" spans="6:7" x14ac:dyDescent="0.2">
      <c r="F1256" s="421">
        <v>28039</v>
      </c>
      <c r="G1256" s="421" t="s">
        <v>1846</v>
      </c>
    </row>
    <row r="1257" spans="6:7" x14ac:dyDescent="0.2">
      <c r="F1257" s="421">
        <v>28040</v>
      </c>
      <c r="G1257" s="421" t="s">
        <v>1847</v>
      </c>
    </row>
    <row r="1258" spans="6:7" x14ac:dyDescent="0.2">
      <c r="F1258" s="421">
        <v>28041</v>
      </c>
      <c r="G1258" s="421" t="s">
        <v>1848</v>
      </c>
    </row>
    <row r="1259" spans="6:7" x14ac:dyDescent="0.2">
      <c r="F1259" s="421">
        <v>28042</v>
      </c>
      <c r="G1259" s="421" t="s">
        <v>1849</v>
      </c>
    </row>
    <row r="1260" spans="6:7" x14ac:dyDescent="0.2">
      <c r="F1260" s="421">
        <v>28043</v>
      </c>
      <c r="G1260" s="421" t="s">
        <v>1850</v>
      </c>
    </row>
    <row r="1261" spans="6:7" x14ac:dyDescent="0.2">
      <c r="F1261" s="421">
        <v>28045</v>
      </c>
      <c r="G1261" s="421" t="s">
        <v>1851</v>
      </c>
    </row>
    <row r="1262" spans="6:7" x14ac:dyDescent="0.2">
      <c r="F1262" s="421">
        <v>28046</v>
      </c>
      <c r="G1262" s="421" t="s">
        <v>1852</v>
      </c>
    </row>
    <row r="1263" spans="6:7" x14ac:dyDescent="0.2">
      <c r="F1263" s="421">
        <v>28047</v>
      </c>
      <c r="G1263" s="421" t="s">
        <v>1853</v>
      </c>
    </row>
    <row r="1264" spans="6:7" x14ac:dyDescent="0.2">
      <c r="F1264" s="421">
        <v>28050</v>
      </c>
      <c r="G1264" s="421" t="s">
        <v>1854</v>
      </c>
    </row>
    <row r="1265" spans="6:7" x14ac:dyDescent="0.2">
      <c r="F1265" s="421">
        <v>28051</v>
      </c>
      <c r="G1265" s="421" t="s">
        <v>1855</v>
      </c>
    </row>
    <row r="1266" spans="6:7" x14ac:dyDescent="0.2">
      <c r="F1266" s="421">
        <v>28053</v>
      </c>
      <c r="G1266" s="421" t="s">
        <v>1856</v>
      </c>
    </row>
    <row r="1267" spans="6:7" x14ac:dyDescent="0.2">
      <c r="F1267" s="421">
        <v>28054</v>
      </c>
      <c r="G1267" s="421" t="s">
        <v>2729</v>
      </c>
    </row>
    <row r="1268" spans="6:7" x14ac:dyDescent="0.2">
      <c r="F1268" s="421">
        <v>28055</v>
      </c>
      <c r="G1268" s="421" t="s">
        <v>1857</v>
      </c>
    </row>
    <row r="1269" spans="6:7" x14ac:dyDescent="0.2">
      <c r="F1269" s="421">
        <v>28057</v>
      </c>
      <c r="G1269" s="421" t="s">
        <v>1858</v>
      </c>
    </row>
    <row r="1270" spans="6:7" x14ac:dyDescent="0.2">
      <c r="F1270" s="421">
        <v>28059</v>
      </c>
      <c r="G1270" s="421" t="s">
        <v>1859</v>
      </c>
    </row>
    <row r="1271" spans="6:7" x14ac:dyDescent="0.2">
      <c r="F1271" s="421">
        <v>28061</v>
      </c>
      <c r="G1271" s="421" t="s">
        <v>1860</v>
      </c>
    </row>
    <row r="1272" spans="6:7" x14ac:dyDescent="0.2">
      <c r="F1272" s="421">
        <v>28062</v>
      </c>
      <c r="G1272" s="421" t="s">
        <v>1861</v>
      </c>
    </row>
    <row r="1273" spans="6:7" x14ac:dyDescent="0.2">
      <c r="F1273" s="421">
        <v>28063</v>
      </c>
      <c r="G1273" s="421" t="s">
        <v>1862</v>
      </c>
    </row>
    <row r="1274" spans="6:7" x14ac:dyDescent="0.2">
      <c r="F1274" s="421">
        <v>28065</v>
      </c>
      <c r="G1274" s="421" t="s">
        <v>1863</v>
      </c>
    </row>
    <row r="1275" spans="6:7" x14ac:dyDescent="0.2">
      <c r="F1275" s="421">
        <v>28066</v>
      </c>
      <c r="G1275" s="421" t="s">
        <v>3296</v>
      </c>
    </row>
    <row r="1276" spans="6:7" x14ac:dyDescent="0.2">
      <c r="F1276" s="421">
        <v>28067</v>
      </c>
      <c r="G1276" s="421" t="s">
        <v>1864</v>
      </c>
    </row>
    <row r="1277" spans="6:7" x14ac:dyDescent="0.2">
      <c r="F1277" s="421">
        <v>28070</v>
      </c>
      <c r="G1277" s="421" t="s">
        <v>2730</v>
      </c>
    </row>
    <row r="1278" spans="6:7" x14ac:dyDescent="0.2">
      <c r="F1278" s="421">
        <v>28072</v>
      </c>
      <c r="G1278" s="421" t="s">
        <v>1865</v>
      </c>
    </row>
    <row r="1279" spans="6:7" x14ac:dyDescent="0.2">
      <c r="F1279" s="421">
        <v>28073</v>
      </c>
      <c r="G1279" s="421" t="s">
        <v>1866</v>
      </c>
    </row>
    <row r="1280" spans="6:7" x14ac:dyDescent="0.2">
      <c r="F1280" s="421">
        <v>28074</v>
      </c>
      <c r="G1280" s="421" t="s">
        <v>3297</v>
      </c>
    </row>
    <row r="1281" spans="6:7" x14ac:dyDescent="0.2">
      <c r="F1281" s="421">
        <v>28076</v>
      </c>
      <c r="G1281" s="421" t="s">
        <v>1867</v>
      </c>
    </row>
    <row r="1282" spans="6:7" x14ac:dyDescent="0.2">
      <c r="F1282" s="421">
        <v>28077</v>
      </c>
      <c r="G1282" s="421" t="s">
        <v>1868</v>
      </c>
    </row>
    <row r="1283" spans="6:7" x14ac:dyDescent="0.2">
      <c r="F1283" s="421">
        <v>28079</v>
      </c>
      <c r="G1283" s="421" t="s">
        <v>1869</v>
      </c>
    </row>
    <row r="1284" spans="6:7" x14ac:dyDescent="0.2">
      <c r="F1284" s="421">
        <v>28081</v>
      </c>
      <c r="G1284" s="421" t="s">
        <v>1870</v>
      </c>
    </row>
    <row r="1285" spans="6:7" x14ac:dyDescent="0.2">
      <c r="F1285" s="421">
        <v>28083</v>
      </c>
      <c r="G1285" s="421" t="s">
        <v>3298</v>
      </c>
    </row>
    <row r="1286" spans="6:7" x14ac:dyDescent="0.2">
      <c r="F1286" s="421">
        <v>28084</v>
      </c>
      <c r="G1286" s="421" t="s">
        <v>1871</v>
      </c>
    </row>
    <row r="1287" spans="6:7" x14ac:dyDescent="0.2">
      <c r="F1287" s="421">
        <v>28085</v>
      </c>
      <c r="G1287" s="421" t="s">
        <v>1872</v>
      </c>
    </row>
    <row r="1288" spans="6:7" x14ac:dyDescent="0.2">
      <c r="F1288" s="421">
        <v>28087</v>
      </c>
      <c r="G1288" s="421" t="s">
        <v>1873</v>
      </c>
    </row>
    <row r="1289" spans="6:7" x14ac:dyDescent="0.2">
      <c r="F1289" s="421">
        <v>28089</v>
      </c>
      <c r="G1289" s="421" t="s">
        <v>1874</v>
      </c>
    </row>
    <row r="1290" spans="6:7" x14ac:dyDescent="0.2">
      <c r="F1290" s="421">
        <v>28090</v>
      </c>
      <c r="G1290" s="421" t="s">
        <v>1875</v>
      </c>
    </row>
    <row r="1291" spans="6:7" x14ac:dyDescent="0.2">
      <c r="F1291" s="421">
        <v>28091</v>
      </c>
      <c r="G1291" s="421" t="s">
        <v>1876</v>
      </c>
    </row>
    <row r="1292" spans="6:7" x14ac:dyDescent="0.2">
      <c r="F1292" s="421">
        <v>28093</v>
      </c>
      <c r="G1292" s="421" t="s">
        <v>1877</v>
      </c>
    </row>
    <row r="1293" spans="6:7" x14ac:dyDescent="0.2">
      <c r="F1293" s="421">
        <v>28094</v>
      </c>
      <c r="G1293" s="421" t="s">
        <v>1878</v>
      </c>
    </row>
    <row r="1294" spans="6:7" x14ac:dyDescent="0.2">
      <c r="F1294" s="421">
        <v>28095</v>
      </c>
      <c r="G1294" s="421" t="s">
        <v>1879</v>
      </c>
    </row>
    <row r="1295" spans="6:7" x14ac:dyDescent="0.2">
      <c r="F1295" s="421">
        <v>28096</v>
      </c>
      <c r="G1295" s="421" t="s">
        <v>1880</v>
      </c>
    </row>
    <row r="1296" spans="6:7" x14ac:dyDescent="0.2">
      <c r="F1296" s="421">
        <v>28098</v>
      </c>
      <c r="G1296" s="421" t="s">
        <v>1881</v>
      </c>
    </row>
    <row r="1297" spans="6:7" x14ac:dyDescent="0.2">
      <c r="F1297" s="421">
        <v>28100</v>
      </c>
      <c r="G1297" s="421" t="s">
        <v>1882</v>
      </c>
    </row>
    <row r="1298" spans="6:7" x14ac:dyDescent="0.2">
      <c r="F1298" s="421">
        <v>28105</v>
      </c>
      <c r="G1298" s="421" t="s">
        <v>1883</v>
      </c>
    </row>
    <row r="1299" spans="6:7" x14ac:dyDescent="0.2">
      <c r="F1299" s="421">
        <v>28106</v>
      </c>
      <c r="G1299" s="421" t="s">
        <v>1884</v>
      </c>
    </row>
    <row r="1300" spans="6:7" x14ac:dyDescent="0.2">
      <c r="F1300" s="421">
        <v>28108</v>
      </c>
      <c r="G1300" s="421" t="s">
        <v>1885</v>
      </c>
    </row>
    <row r="1301" spans="6:7" x14ac:dyDescent="0.2">
      <c r="F1301" s="421">
        <v>28110</v>
      </c>
      <c r="G1301" s="421" t="s">
        <v>1886</v>
      </c>
    </row>
    <row r="1302" spans="6:7" x14ac:dyDescent="0.2">
      <c r="F1302" s="421">
        <v>28113</v>
      </c>
      <c r="G1302" s="421" t="s">
        <v>1887</v>
      </c>
    </row>
    <row r="1303" spans="6:7" x14ac:dyDescent="0.2">
      <c r="F1303" s="421">
        <v>28115</v>
      </c>
      <c r="G1303" s="421" t="s">
        <v>1888</v>
      </c>
    </row>
    <row r="1304" spans="6:7" x14ac:dyDescent="0.2">
      <c r="F1304" s="421">
        <v>28116</v>
      </c>
      <c r="G1304" s="421" t="s">
        <v>1889</v>
      </c>
    </row>
    <row r="1305" spans="6:7" x14ac:dyDescent="0.2">
      <c r="F1305" s="421">
        <v>28117</v>
      </c>
      <c r="G1305" s="421" t="s">
        <v>1890</v>
      </c>
    </row>
    <row r="1306" spans="6:7" x14ac:dyDescent="0.2">
      <c r="F1306" s="421">
        <v>28122</v>
      </c>
      <c r="G1306" s="421" t="s">
        <v>1891</v>
      </c>
    </row>
    <row r="1307" spans="6:7" x14ac:dyDescent="0.2">
      <c r="F1307" s="421">
        <v>28123</v>
      </c>
      <c r="G1307" s="421" t="s">
        <v>1892</v>
      </c>
    </row>
    <row r="1308" spans="6:7" x14ac:dyDescent="0.2">
      <c r="F1308" s="421">
        <v>28125</v>
      </c>
      <c r="G1308" s="421" t="s">
        <v>1893</v>
      </c>
    </row>
    <row r="1309" spans="6:7" x14ac:dyDescent="0.2">
      <c r="F1309" s="421">
        <v>28127</v>
      </c>
      <c r="G1309" s="421" t="s">
        <v>1894</v>
      </c>
    </row>
    <row r="1310" spans="6:7" x14ac:dyDescent="0.2">
      <c r="F1310" s="421">
        <v>28128</v>
      </c>
      <c r="G1310" s="421" t="s">
        <v>1895</v>
      </c>
    </row>
    <row r="1311" spans="6:7" x14ac:dyDescent="0.2">
      <c r="F1311" s="421">
        <v>28129</v>
      </c>
      <c r="G1311" s="421" t="s">
        <v>1896</v>
      </c>
    </row>
    <row r="1312" spans="6:7" x14ac:dyDescent="0.2">
      <c r="F1312" s="421">
        <v>28134</v>
      </c>
      <c r="G1312" s="421" t="s">
        <v>2731</v>
      </c>
    </row>
    <row r="1313" spans="6:7" x14ac:dyDescent="0.2">
      <c r="F1313" s="421">
        <v>28135</v>
      </c>
      <c r="G1313" s="421" t="s">
        <v>1897</v>
      </c>
    </row>
    <row r="1314" spans="6:7" x14ac:dyDescent="0.2">
      <c r="F1314" s="421">
        <v>28136</v>
      </c>
      <c r="G1314" s="421" t="s">
        <v>1898</v>
      </c>
    </row>
    <row r="1315" spans="6:7" x14ac:dyDescent="0.2">
      <c r="F1315" s="421">
        <v>28138</v>
      </c>
      <c r="G1315" s="421" t="s">
        <v>1899</v>
      </c>
    </row>
    <row r="1316" spans="6:7" x14ac:dyDescent="0.2">
      <c r="F1316" s="421">
        <v>28141</v>
      </c>
      <c r="G1316" s="421" t="s">
        <v>1900</v>
      </c>
    </row>
    <row r="1317" spans="6:7" x14ac:dyDescent="0.2">
      <c r="F1317" s="421">
        <v>28143</v>
      </c>
      <c r="G1317" s="421" t="s">
        <v>2732</v>
      </c>
    </row>
    <row r="1318" spans="6:7" x14ac:dyDescent="0.2">
      <c r="F1318" s="421">
        <v>28144</v>
      </c>
      <c r="G1318" s="421" t="s">
        <v>1901</v>
      </c>
    </row>
    <row r="1319" spans="6:7" x14ac:dyDescent="0.2">
      <c r="F1319" s="421">
        <v>28150</v>
      </c>
      <c r="G1319" s="421" t="s">
        <v>1902</v>
      </c>
    </row>
    <row r="1320" spans="6:7" x14ac:dyDescent="0.2">
      <c r="F1320" s="421">
        <v>28151</v>
      </c>
      <c r="G1320" s="421" t="s">
        <v>1903</v>
      </c>
    </row>
    <row r="1321" spans="6:7" x14ac:dyDescent="0.2">
      <c r="F1321" s="421">
        <v>28154</v>
      </c>
      <c r="G1321" s="421" t="s">
        <v>1904</v>
      </c>
    </row>
    <row r="1322" spans="6:7" x14ac:dyDescent="0.2">
      <c r="F1322" s="421">
        <v>28157</v>
      </c>
      <c r="G1322" s="421" t="s">
        <v>1905</v>
      </c>
    </row>
    <row r="1323" spans="6:7" x14ac:dyDescent="0.2">
      <c r="F1323" s="421">
        <v>28160</v>
      </c>
      <c r="G1323" s="421" t="s">
        <v>1906</v>
      </c>
    </row>
    <row r="1324" spans="6:7" x14ac:dyDescent="0.2">
      <c r="F1324" s="421">
        <v>28161</v>
      </c>
      <c r="G1324" s="421" t="s">
        <v>1907</v>
      </c>
    </row>
    <row r="1325" spans="6:7" x14ac:dyDescent="0.2">
      <c r="F1325" s="421">
        <v>28165</v>
      </c>
      <c r="G1325" s="421" t="s">
        <v>3299</v>
      </c>
    </row>
    <row r="1326" spans="6:7" x14ac:dyDescent="0.2">
      <c r="F1326" s="421">
        <v>28171</v>
      </c>
      <c r="G1326" s="421" t="s">
        <v>1908</v>
      </c>
    </row>
    <row r="1327" spans="6:7" x14ac:dyDescent="0.2">
      <c r="F1327" s="421">
        <v>28172</v>
      </c>
      <c r="G1327" s="421" t="s">
        <v>1909</v>
      </c>
    </row>
    <row r="1328" spans="6:7" x14ac:dyDescent="0.2">
      <c r="F1328" s="421">
        <v>28179</v>
      </c>
      <c r="G1328" s="421" t="s">
        <v>1910</v>
      </c>
    </row>
    <row r="1329" spans="6:7" x14ac:dyDescent="0.2">
      <c r="F1329" s="421">
        <v>28181</v>
      </c>
      <c r="G1329" s="421" t="s">
        <v>1911</v>
      </c>
    </row>
    <row r="1330" spans="6:7" x14ac:dyDescent="0.2">
      <c r="F1330" s="421">
        <v>28182</v>
      </c>
      <c r="G1330" s="421" t="s">
        <v>1912</v>
      </c>
    </row>
    <row r="1331" spans="6:7" x14ac:dyDescent="0.2">
      <c r="F1331" s="421">
        <v>28183</v>
      </c>
      <c r="G1331" s="421" t="s">
        <v>1913</v>
      </c>
    </row>
    <row r="1332" spans="6:7" x14ac:dyDescent="0.2">
      <c r="F1332" s="421">
        <v>28184</v>
      </c>
      <c r="G1332" s="421" t="s">
        <v>1914</v>
      </c>
    </row>
    <row r="1333" spans="6:7" x14ac:dyDescent="0.2">
      <c r="F1333" s="421">
        <v>28186</v>
      </c>
      <c r="G1333" s="421" t="s">
        <v>1915</v>
      </c>
    </row>
    <row r="1334" spans="6:7" x14ac:dyDescent="0.2">
      <c r="F1334" s="421">
        <v>28187</v>
      </c>
      <c r="G1334" s="421" t="s">
        <v>1916</v>
      </c>
    </row>
    <row r="1335" spans="6:7" x14ac:dyDescent="0.2">
      <c r="F1335" s="421">
        <v>28188</v>
      </c>
      <c r="G1335" s="421" t="s">
        <v>1917</v>
      </c>
    </row>
    <row r="1336" spans="6:7" x14ac:dyDescent="0.2">
      <c r="F1336" s="421">
        <v>28199</v>
      </c>
      <c r="G1336" s="421" t="s">
        <v>1918</v>
      </c>
    </row>
    <row r="1337" spans="6:7" x14ac:dyDescent="0.2">
      <c r="F1337" s="421">
        <v>28206</v>
      </c>
      <c r="G1337" s="421" t="s">
        <v>1919</v>
      </c>
    </row>
    <row r="1338" spans="6:7" x14ac:dyDescent="0.2">
      <c r="F1338" s="421">
        <v>28209</v>
      </c>
      <c r="G1338" s="421" t="s">
        <v>1920</v>
      </c>
    </row>
    <row r="1339" spans="6:7" x14ac:dyDescent="0.2">
      <c r="F1339" s="421">
        <v>28211</v>
      </c>
      <c r="G1339" s="421" t="s">
        <v>1921</v>
      </c>
    </row>
    <row r="1340" spans="6:7" x14ac:dyDescent="0.2">
      <c r="F1340" s="421">
        <v>28212</v>
      </c>
      <c r="G1340" s="421" t="s">
        <v>1922</v>
      </c>
    </row>
    <row r="1341" spans="6:7" x14ac:dyDescent="0.2">
      <c r="F1341" s="421">
        <v>28215</v>
      </c>
      <c r="G1341" s="421" t="s">
        <v>1923</v>
      </c>
    </row>
    <row r="1342" spans="6:7" x14ac:dyDescent="0.2">
      <c r="F1342" s="421">
        <v>28223</v>
      </c>
      <c r="G1342" s="421" t="s">
        <v>1924</v>
      </c>
    </row>
    <row r="1343" spans="6:7" x14ac:dyDescent="0.2">
      <c r="F1343" s="421">
        <v>28229</v>
      </c>
      <c r="G1343" s="421" t="s">
        <v>1925</v>
      </c>
    </row>
    <row r="1344" spans="6:7" x14ac:dyDescent="0.2">
      <c r="F1344" s="421">
        <v>28272</v>
      </c>
      <c r="G1344" s="421" t="s">
        <v>1926</v>
      </c>
    </row>
    <row r="1345" spans="6:7" x14ac:dyDescent="0.2">
      <c r="F1345" s="421">
        <v>28273</v>
      </c>
      <c r="G1345" s="421" t="s">
        <v>1927</v>
      </c>
    </row>
    <row r="1346" spans="6:7" x14ac:dyDescent="0.2">
      <c r="F1346" s="421">
        <v>28283</v>
      </c>
      <c r="G1346" s="421" t="s">
        <v>2733</v>
      </c>
    </row>
    <row r="1347" spans="6:7" x14ac:dyDescent="0.2">
      <c r="F1347" s="421">
        <v>28289</v>
      </c>
      <c r="G1347" s="421" t="s">
        <v>2734</v>
      </c>
    </row>
    <row r="1348" spans="6:7" x14ac:dyDescent="0.2">
      <c r="F1348" s="421">
        <v>28294</v>
      </c>
      <c r="G1348" s="421" t="s">
        <v>1928</v>
      </c>
    </row>
    <row r="1349" spans="6:7" x14ac:dyDescent="0.2">
      <c r="F1349" s="421">
        <v>28295</v>
      </c>
      <c r="G1349" s="421" t="s">
        <v>1929</v>
      </c>
    </row>
    <row r="1350" spans="6:7" x14ac:dyDescent="0.2">
      <c r="F1350" s="421">
        <v>28306</v>
      </c>
      <c r="G1350" s="421" t="s">
        <v>1930</v>
      </c>
    </row>
    <row r="1351" spans="6:7" x14ac:dyDescent="0.2">
      <c r="F1351" s="421">
        <v>28307</v>
      </c>
      <c r="G1351" s="421" t="s">
        <v>2735</v>
      </c>
    </row>
    <row r="1352" spans="6:7" x14ac:dyDescent="0.2">
      <c r="F1352" s="421">
        <v>28308</v>
      </c>
      <c r="G1352" s="421" t="s">
        <v>1931</v>
      </c>
    </row>
    <row r="1353" spans="6:7" x14ac:dyDescent="0.2">
      <c r="F1353" s="421">
        <v>28309</v>
      </c>
      <c r="G1353" s="421" t="s">
        <v>1932</v>
      </c>
    </row>
    <row r="1354" spans="6:7" x14ac:dyDescent="0.2">
      <c r="F1354" s="421">
        <v>28310</v>
      </c>
      <c r="G1354" s="421" t="s">
        <v>1933</v>
      </c>
    </row>
    <row r="1355" spans="6:7" x14ac:dyDescent="0.2">
      <c r="F1355" s="421">
        <v>28315</v>
      </c>
      <c r="G1355" s="421" t="s">
        <v>2736</v>
      </c>
    </row>
    <row r="1356" spans="6:7" x14ac:dyDescent="0.2">
      <c r="F1356" s="421">
        <v>28316</v>
      </c>
      <c r="G1356" s="421" t="s">
        <v>1934</v>
      </c>
    </row>
    <row r="1357" spans="6:7" x14ac:dyDescent="0.2">
      <c r="F1357" s="421">
        <v>28317</v>
      </c>
      <c r="G1357" s="421" t="s">
        <v>3300</v>
      </c>
    </row>
    <row r="1358" spans="6:7" x14ac:dyDescent="0.2">
      <c r="F1358" s="421">
        <v>28318</v>
      </c>
      <c r="G1358" s="421" t="s">
        <v>1935</v>
      </c>
    </row>
    <row r="1359" spans="6:7" x14ac:dyDescent="0.2">
      <c r="F1359" s="421">
        <v>28319</v>
      </c>
      <c r="G1359" s="421" t="s">
        <v>2737</v>
      </c>
    </row>
    <row r="1360" spans="6:7" x14ac:dyDescent="0.2">
      <c r="F1360" s="421">
        <v>28320</v>
      </c>
      <c r="G1360" s="421" t="s">
        <v>1936</v>
      </c>
    </row>
    <row r="1361" spans="6:7" x14ac:dyDescent="0.2">
      <c r="F1361" s="421">
        <v>28323</v>
      </c>
      <c r="G1361" s="421" t="s">
        <v>1937</v>
      </c>
    </row>
    <row r="1362" spans="6:7" x14ac:dyDescent="0.2">
      <c r="F1362" s="421">
        <v>28324</v>
      </c>
      <c r="G1362" s="421" t="s">
        <v>1938</v>
      </c>
    </row>
    <row r="1363" spans="6:7" x14ac:dyDescent="0.2">
      <c r="F1363" s="421">
        <v>28326</v>
      </c>
      <c r="G1363" s="421" t="s">
        <v>1939</v>
      </c>
    </row>
    <row r="1364" spans="6:7" x14ac:dyDescent="0.2">
      <c r="F1364" s="421">
        <v>28327</v>
      </c>
      <c r="G1364" s="421" t="s">
        <v>1940</v>
      </c>
    </row>
    <row r="1365" spans="6:7" x14ac:dyDescent="0.2">
      <c r="F1365" s="421">
        <v>28332</v>
      </c>
      <c r="G1365" s="421" t="s">
        <v>1941</v>
      </c>
    </row>
    <row r="1366" spans="6:7" x14ac:dyDescent="0.2">
      <c r="F1366" s="421">
        <v>28333</v>
      </c>
      <c r="G1366" s="421" t="s">
        <v>1942</v>
      </c>
    </row>
    <row r="1367" spans="6:7" x14ac:dyDescent="0.2">
      <c r="F1367" s="421">
        <v>28335</v>
      </c>
      <c r="G1367" s="421" t="s">
        <v>1943</v>
      </c>
    </row>
    <row r="1368" spans="6:7" x14ac:dyDescent="0.2">
      <c r="F1368" s="421">
        <v>28339</v>
      </c>
      <c r="G1368" s="421" t="s">
        <v>1944</v>
      </c>
    </row>
    <row r="1369" spans="6:7" x14ac:dyDescent="0.2">
      <c r="F1369" s="421">
        <v>28340</v>
      </c>
      <c r="G1369" s="421" t="s">
        <v>1945</v>
      </c>
    </row>
    <row r="1370" spans="6:7" x14ac:dyDescent="0.2">
      <c r="F1370" s="421">
        <v>28341</v>
      </c>
      <c r="G1370" s="421" t="s">
        <v>1946</v>
      </c>
    </row>
    <row r="1371" spans="6:7" x14ac:dyDescent="0.2">
      <c r="F1371" s="421">
        <v>28342</v>
      </c>
      <c r="G1371" s="421" t="s">
        <v>1947</v>
      </c>
    </row>
    <row r="1372" spans="6:7" x14ac:dyDescent="0.2">
      <c r="F1372" s="421">
        <v>28343</v>
      </c>
      <c r="G1372" s="421" t="s">
        <v>1948</v>
      </c>
    </row>
    <row r="1373" spans="6:7" x14ac:dyDescent="0.2">
      <c r="F1373" s="421">
        <v>28345</v>
      </c>
      <c r="G1373" s="421" t="s">
        <v>1949</v>
      </c>
    </row>
    <row r="1374" spans="6:7" x14ac:dyDescent="0.2">
      <c r="F1374" s="421">
        <v>28346</v>
      </c>
      <c r="G1374" s="421" t="s">
        <v>1950</v>
      </c>
    </row>
    <row r="1375" spans="6:7" x14ac:dyDescent="0.2">
      <c r="F1375" s="421">
        <v>28351</v>
      </c>
      <c r="G1375" s="421" t="s">
        <v>1951</v>
      </c>
    </row>
    <row r="1376" spans="6:7" x14ac:dyDescent="0.2">
      <c r="F1376" s="421">
        <v>28355</v>
      </c>
      <c r="G1376" s="421" t="s">
        <v>1952</v>
      </c>
    </row>
    <row r="1377" spans="6:7" x14ac:dyDescent="0.2">
      <c r="F1377" s="421">
        <v>28358</v>
      </c>
      <c r="G1377" s="421" t="s">
        <v>1953</v>
      </c>
    </row>
    <row r="1378" spans="6:7" x14ac:dyDescent="0.2">
      <c r="F1378" s="421">
        <v>28359</v>
      </c>
      <c r="G1378" s="421" t="s">
        <v>1954</v>
      </c>
    </row>
    <row r="1379" spans="6:7" x14ac:dyDescent="0.2">
      <c r="F1379" s="421">
        <v>28360</v>
      </c>
      <c r="G1379" s="421" t="s">
        <v>1955</v>
      </c>
    </row>
    <row r="1380" spans="6:7" x14ac:dyDescent="0.2">
      <c r="F1380" s="421">
        <v>28362</v>
      </c>
      <c r="G1380" s="421" t="s">
        <v>1956</v>
      </c>
    </row>
    <row r="1381" spans="6:7" x14ac:dyDescent="0.2">
      <c r="F1381" s="421">
        <v>28364</v>
      </c>
      <c r="G1381" s="421" t="s">
        <v>1957</v>
      </c>
    </row>
    <row r="1382" spans="6:7" x14ac:dyDescent="0.2">
      <c r="F1382" s="421">
        <v>28365</v>
      </c>
      <c r="G1382" s="421" t="s">
        <v>1958</v>
      </c>
    </row>
    <row r="1383" spans="6:7" x14ac:dyDescent="0.2">
      <c r="F1383" s="421">
        <v>28366</v>
      </c>
      <c r="G1383" s="421" t="s">
        <v>1959</v>
      </c>
    </row>
    <row r="1384" spans="6:7" x14ac:dyDescent="0.2">
      <c r="F1384" s="421">
        <v>28367</v>
      </c>
      <c r="G1384" s="421" t="s">
        <v>1960</v>
      </c>
    </row>
    <row r="1385" spans="6:7" x14ac:dyDescent="0.2">
      <c r="F1385" s="421">
        <v>28371</v>
      </c>
      <c r="G1385" s="421" t="s">
        <v>1961</v>
      </c>
    </row>
    <row r="1386" spans="6:7" x14ac:dyDescent="0.2">
      <c r="F1386" s="421">
        <v>28375</v>
      </c>
      <c r="G1386" s="421" t="s">
        <v>1962</v>
      </c>
    </row>
    <row r="1387" spans="6:7" x14ac:dyDescent="0.2">
      <c r="F1387" s="421">
        <v>28376</v>
      </c>
      <c r="G1387" s="421" t="s">
        <v>1963</v>
      </c>
    </row>
    <row r="1388" spans="6:7" x14ac:dyDescent="0.2">
      <c r="F1388" s="421">
        <v>28377</v>
      </c>
      <c r="G1388" s="421" t="s">
        <v>1964</v>
      </c>
    </row>
    <row r="1389" spans="6:7" x14ac:dyDescent="0.2">
      <c r="F1389" s="421">
        <v>28379</v>
      </c>
      <c r="G1389" s="421" t="s">
        <v>1965</v>
      </c>
    </row>
    <row r="1390" spans="6:7" x14ac:dyDescent="0.2">
      <c r="F1390" s="421">
        <v>28383</v>
      </c>
      <c r="G1390" s="421" t="s">
        <v>1966</v>
      </c>
    </row>
    <row r="1391" spans="6:7" x14ac:dyDescent="0.2">
      <c r="F1391" s="421">
        <v>28388</v>
      </c>
      <c r="G1391" s="421" t="s">
        <v>1967</v>
      </c>
    </row>
    <row r="1392" spans="6:7" x14ac:dyDescent="0.2">
      <c r="F1392" s="421">
        <v>28390</v>
      </c>
      <c r="G1392" s="421" t="s">
        <v>1968</v>
      </c>
    </row>
    <row r="1393" spans="6:7" x14ac:dyDescent="0.2">
      <c r="F1393" s="421">
        <v>28393</v>
      </c>
      <c r="G1393" s="421" t="s">
        <v>1969</v>
      </c>
    </row>
    <row r="1394" spans="6:7" x14ac:dyDescent="0.2">
      <c r="F1394" s="421">
        <v>28419</v>
      </c>
      <c r="G1394" s="421" t="s">
        <v>2738</v>
      </c>
    </row>
    <row r="1395" spans="6:7" x14ac:dyDescent="0.2">
      <c r="F1395" s="421">
        <v>28427</v>
      </c>
      <c r="G1395" s="421" t="s">
        <v>1970</v>
      </c>
    </row>
    <row r="1396" spans="6:7" x14ac:dyDescent="0.2">
      <c r="F1396" s="421">
        <v>28429</v>
      </c>
      <c r="G1396" s="421" t="s">
        <v>1971</v>
      </c>
    </row>
    <row r="1397" spans="6:7" x14ac:dyDescent="0.2">
      <c r="F1397" s="421">
        <v>28433</v>
      </c>
      <c r="G1397" s="421" t="s">
        <v>1972</v>
      </c>
    </row>
    <row r="1398" spans="6:7" x14ac:dyDescent="0.2">
      <c r="F1398" s="421">
        <v>28441</v>
      </c>
      <c r="G1398" s="421" t="s">
        <v>1973</v>
      </c>
    </row>
    <row r="1399" spans="6:7" x14ac:dyDescent="0.2">
      <c r="F1399" s="421">
        <v>28442</v>
      </c>
      <c r="G1399" s="421" t="s">
        <v>3301</v>
      </c>
    </row>
    <row r="1400" spans="6:7" x14ac:dyDescent="0.2">
      <c r="F1400" s="421">
        <v>28443</v>
      </c>
      <c r="G1400" s="421" t="s">
        <v>1974</v>
      </c>
    </row>
    <row r="1401" spans="6:7" x14ac:dyDescent="0.2">
      <c r="F1401" s="421">
        <v>28452</v>
      </c>
      <c r="G1401" s="421" t="s">
        <v>1975</v>
      </c>
    </row>
    <row r="1402" spans="6:7" x14ac:dyDescent="0.2">
      <c r="F1402" s="421">
        <v>28453</v>
      </c>
      <c r="G1402" s="421" t="s">
        <v>1976</v>
      </c>
    </row>
    <row r="1403" spans="6:7" x14ac:dyDescent="0.2">
      <c r="F1403" s="421">
        <v>28459</v>
      </c>
      <c r="G1403" s="421" t="s">
        <v>1977</v>
      </c>
    </row>
    <row r="1404" spans="6:7" x14ac:dyDescent="0.2">
      <c r="F1404" s="421">
        <v>28467</v>
      </c>
      <c r="G1404" s="421" t="s">
        <v>1978</v>
      </c>
    </row>
    <row r="1405" spans="6:7" x14ac:dyDescent="0.2">
      <c r="F1405" s="421">
        <v>28472</v>
      </c>
      <c r="G1405" s="421" t="s">
        <v>1979</v>
      </c>
    </row>
    <row r="1406" spans="6:7" x14ac:dyDescent="0.2">
      <c r="F1406" s="421">
        <v>28479</v>
      </c>
      <c r="G1406" s="421" t="s">
        <v>1980</v>
      </c>
    </row>
    <row r="1407" spans="6:7" x14ac:dyDescent="0.2">
      <c r="F1407" s="421">
        <v>28488</v>
      </c>
      <c r="G1407" s="421" t="s">
        <v>1981</v>
      </c>
    </row>
    <row r="1408" spans="6:7" x14ac:dyDescent="0.2">
      <c r="F1408" s="421">
        <v>28489</v>
      </c>
      <c r="G1408" s="421" t="s">
        <v>1982</v>
      </c>
    </row>
    <row r="1409" spans="6:7" x14ac:dyDescent="0.2">
      <c r="F1409" s="421">
        <v>28505</v>
      </c>
      <c r="G1409" s="421" t="s">
        <v>1983</v>
      </c>
    </row>
    <row r="1410" spans="6:7" x14ac:dyDescent="0.2">
      <c r="F1410" s="421">
        <v>28507</v>
      </c>
      <c r="G1410" s="421" t="s">
        <v>1984</v>
      </c>
    </row>
    <row r="1411" spans="6:7" x14ac:dyDescent="0.2">
      <c r="F1411" s="421">
        <v>28520</v>
      </c>
      <c r="G1411" s="421" t="s">
        <v>1985</v>
      </c>
    </row>
    <row r="1412" spans="6:7" x14ac:dyDescent="0.2">
      <c r="F1412" s="421">
        <v>28522</v>
      </c>
      <c r="G1412" s="421" t="s">
        <v>1986</v>
      </c>
    </row>
    <row r="1413" spans="6:7" x14ac:dyDescent="0.2">
      <c r="F1413" s="421">
        <v>28528</v>
      </c>
      <c r="G1413" s="421" t="s">
        <v>1987</v>
      </c>
    </row>
    <row r="1414" spans="6:7" x14ac:dyDescent="0.2">
      <c r="F1414" s="421">
        <v>28529</v>
      </c>
      <c r="G1414" s="421" t="s">
        <v>3302</v>
      </c>
    </row>
    <row r="1415" spans="6:7" x14ac:dyDescent="0.2">
      <c r="F1415" s="421">
        <v>28537</v>
      </c>
      <c r="G1415" s="421" t="s">
        <v>1988</v>
      </c>
    </row>
    <row r="1416" spans="6:7" x14ac:dyDescent="0.2">
      <c r="F1416" s="421">
        <v>28546</v>
      </c>
      <c r="G1416" s="421" t="s">
        <v>1989</v>
      </c>
    </row>
    <row r="1417" spans="6:7" x14ac:dyDescent="0.2">
      <c r="F1417" s="421">
        <v>28549</v>
      </c>
      <c r="G1417" s="421" t="s">
        <v>1990</v>
      </c>
    </row>
    <row r="1418" spans="6:7" x14ac:dyDescent="0.2">
      <c r="F1418" s="421">
        <v>28550</v>
      </c>
      <c r="G1418" s="421" t="s">
        <v>1991</v>
      </c>
    </row>
    <row r="1419" spans="6:7" x14ac:dyDescent="0.2">
      <c r="F1419" s="421">
        <v>28555</v>
      </c>
      <c r="G1419" s="421" t="s">
        <v>1992</v>
      </c>
    </row>
    <row r="1420" spans="6:7" x14ac:dyDescent="0.2">
      <c r="F1420" s="421">
        <v>28556</v>
      </c>
      <c r="G1420" s="421" t="s">
        <v>1993</v>
      </c>
    </row>
    <row r="1421" spans="6:7" x14ac:dyDescent="0.2">
      <c r="F1421" s="421">
        <v>28557</v>
      </c>
      <c r="G1421" s="421" t="s">
        <v>1994</v>
      </c>
    </row>
    <row r="1422" spans="6:7" x14ac:dyDescent="0.2">
      <c r="F1422" s="421">
        <v>28558</v>
      </c>
      <c r="G1422" s="421" t="s">
        <v>2739</v>
      </c>
    </row>
    <row r="1423" spans="6:7" x14ac:dyDescent="0.2">
      <c r="F1423" s="421">
        <v>28564</v>
      </c>
      <c r="G1423" s="421" t="s">
        <v>1995</v>
      </c>
    </row>
    <row r="1424" spans="6:7" x14ac:dyDescent="0.2">
      <c r="F1424" s="421">
        <v>28569</v>
      </c>
      <c r="G1424" s="421" t="s">
        <v>3303</v>
      </c>
    </row>
    <row r="1425" spans="6:7" x14ac:dyDescent="0.2">
      <c r="F1425" s="421">
        <v>28584</v>
      </c>
      <c r="G1425" s="421" t="s">
        <v>1996</v>
      </c>
    </row>
    <row r="1426" spans="6:7" x14ac:dyDescent="0.2">
      <c r="F1426" s="421">
        <v>28587</v>
      </c>
      <c r="G1426" s="421" t="s">
        <v>1997</v>
      </c>
    </row>
    <row r="1427" spans="6:7" x14ac:dyDescent="0.2">
      <c r="F1427" s="421">
        <v>28593</v>
      </c>
      <c r="G1427" s="421" t="s">
        <v>1998</v>
      </c>
    </row>
    <row r="1428" spans="6:7" x14ac:dyDescent="0.2">
      <c r="F1428" s="421">
        <v>28609</v>
      </c>
      <c r="G1428" s="421" t="s">
        <v>1999</v>
      </c>
    </row>
    <row r="1429" spans="6:7" x14ac:dyDescent="0.2">
      <c r="F1429" s="421">
        <v>28610</v>
      </c>
      <c r="G1429" s="421" t="s">
        <v>2000</v>
      </c>
    </row>
    <row r="1430" spans="6:7" x14ac:dyDescent="0.2">
      <c r="F1430" s="421">
        <v>28612</v>
      </c>
      <c r="G1430" s="421" t="s">
        <v>2001</v>
      </c>
    </row>
    <row r="1431" spans="6:7" x14ac:dyDescent="0.2">
      <c r="F1431" s="421">
        <v>28615</v>
      </c>
      <c r="G1431" s="421" t="s">
        <v>2002</v>
      </c>
    </row>
    <row r="1432" spans="6:7" x14ac:dyDescent="0.2">
      <c r="F1432" s="421">
        <v>28618</v>
      </c>
      <c r="G1432" s="421" t="s">
        <v>2003</v>
      </c>
    </row>
    <row r="1433" spans="6:7" x14ac:dyDescent="0.2">
      <c r="F1433" s="421">
        <v>28622</v>
      </c>
      <c r="G1433" s="421" t="s">
        <v>2004</v>
      </c>
    </row>
    <row r="1434" spans="6:7" x14ac:dyDescent="0.2">
      <c r="F1434" s="421">
        <v>28623</v>
      </c>
      <c r="G1434" s="421" t="s">
        <v>2005</v>
      </c>
    </row>
    <row r="1435" spans="6:7" x14ac:dyDescent="0.2">
      <c r="F1435" s="421">
        <v>28624</v>
      </c>
      <c r="G1435" s="421" t="s">
        <v>2740</v>
      </c>
    </row>
    <row r="1436" spans="6:7" x14ac:dyDescent="0.2">
      <c r="F1436" s="421">
        <v>28629</v>
      </c>
      <c r="G1436" s="421" t="s">
        <v>2006</v>
      </c>
    </row>
    <row r="1437" spans="6:7" x14ac:dyDescent="0.2">
      <c r="F1437" s="421">
        <v>28631</v>
      </c>
      <c r="G1437" s="421" t="s">
        <v>2007</v>
      </c>
    </row>
    <row r="1438" spans="6:7" x14ac:dyDescent="0.2">
      <c r="F1438" s="421">
        <v>28636</v>
      </c>
      <c r="G1438" s="421" t="s">
        <v>2741</v>
      </c>
    </row>
    <row r="1439" spans="6:7" x14ac:dyDescent="0.2">
      <c r="F1439" s="421">
        <v>28646</v>
      </c>
      <c r="G1439" s="421" t="s">
        <v>2742</v>
      </c>
    </row>
    <row r="1440" spans="6:7" x14ac:dyDescent="0.2">
      <c r="F1440" s="421">
        <v>28658</v>
      </c>
      <c r="G1440" s="421" t="s">
        <v>2008</v>
      </c>
    </row>
    <row r="1441" spans="6:7" x14ac:dyDescent="0.2">
      <c r="F1441" s="421">
        <v>28659</v>
      </c>
      <c r="G1441" s="421" t="s">
        <v>2009</v>
      </c>
    </row>
    <row r="1442" spans="6:7" x14ac:dyDescent="0.2">
      <c r="F1442" s="421">
        <v>28663</v>
      </c>
      <c r="G1442" s="421" t="s">
        <v>2010</v>
      </c>
    </row>
    <row r="1443" spans="6:7" x14ac:dyDescent="0.2">
      <c r="F1443" s="421">
        <v>28664</v>
      </c>
      <c r="G1443" s="421" t="s">
        <v>2011</v>
      </c>
    </row>
    <row r="1444" spans="6:7" x14ac:dyDescent="0.2">
      <c r="F1444" s="421">
        <v>28666</v>
      </c>
      <c r="G1444" s="421" t="s">
        <v>2012</v>
      </c>
    </row>
    <row r="1445" spans="6:7" x14ac:dyDescent="0.2">
      <c r="F1445" s="421">
        <v>28669</v>
      </c>
      <c r="G1445" s="421" t="s">
        <v>2743</v>
      </c>
    </row>
    <row r="1446" spans="6:7" x14ac:dyDescent="0.2">
      <c r="F1446" s="421">
        <v>28670</v>
      </c>
      <c r="G1446" s="421" t="s">
        <v>2013</v>
      </c>
    </row>
    <row r="1447" spans="6:7" x14ac:dyDescent="0.2">
      <c r="F1447" s="421">
        <v>28674</v>
      </c>
      <c r="G1447" s="421" t="s">
        <v>2014</v>
      </c>
    </row>
    <row r="1448" spans="6:7" x14ac:dyDescent="0.2">
      <c r="F1448" s="421">
        <v>28676</v>
      </c>
      <c r="G1448" s="421" t="s">
        <v>2015</v>
      </c>
    </row>
    <row r="1449" spans="6:7" x14ac:dyDescent="0.2">
      <c r="F1449" s="421">
        <v>28686</v>
      </c>
      <c r="G1449" s="421" t="s">
        <v>2016</v>
      </c>
    </row>
    <row r="1450" spans="6:7" x14ac:dyDescent="0.2">
      <c r="F1450" s="421">
        <v>28687</v>
      </c>
      <c r="G1450" s="421" t="s">
        <v>2017</v>
      </c>
    </row>
    <row r="1451" spans="6:7" x14ac:dyDescent="0.2">
      <c r="F1451" s="421">
        <v>28692</v>
      </c>
      <c r="G1451" s="421" t="s">
        <v>2018</v>
      </c>
    </row>
    <row r="1452" spans="6:7" x14ac:dyDescent="0.2">
      <c r="F1452" s="421">
        <v>28700</v>
      </c>
      <c r="G1452" s="421" t="s">
        <v>2019</v>
      </c>
    </row>
    <row r="1453" spans="6:7" x14ac:dyDescent="0.2">
      <c r="F1453" s="421">
        <v>28706</v>
      </c>
      <c r="G1453" s="421" t="s">
        <v>2020</v>
      </c>
    </row>
    <row r="1454" spans="6:7" x14ac:dyDescent="0.2">
      <c r="F1454" s="421">
        <v>28711</v>
      </c>
      <c r="G1454" s="421" t="s">
        <v>2021</v>
      </c>
    </row>
    <row r="1455" spans="6:7" x14ac:dyDescent="0.2">
      <c r="F1455" s="421">
        <v>28718</v>
      </c>
      <c r="G1455" s="421" t="s">
        <v>2022</v>
      </c>
    </row>
    <row r="1456" spans="6:7" x14ac:dyDescent="0.2">
      <c r="F1456" s="421">
        <v>28722</v>
      </c>
      <c r="G1456" s="421" t="s">
        <v>3071</v>
      </c>
    </row>
    <row r="1457" spans="6:7" x14ac:dyDescent="0.2">
      <c r="F1457" s="421">
        <v>28725</v>
      </c>
      <c r="G1457" s="421" t="s">
        <v>2023</v>
      </c>
    </row>
    <row r="1458" spans="6:7" x14ac:dyDescent="0.2">
      <c r="F1458" s="421">
        <v>28726</v>
      </c>
      <c r="G1458" s="421" t="s">
        <v>2024</v>
      </c>
    </row>
    <row r="1459" spans="6:7" x14ac:dyDescent="0.2">
      <c r="F1459" s="421">
        <v>28730</v>
      </c>
      <c r="G1459" s="421" t="s">
        <v>2025</v>
      </c>
    </row>
    <row r="1460" spans="6:7" x14ac:dyDescent="0.2">
      <c r="F1460" s="421">
        <v>28732</v>
      </c>
      <c r="G1460" s="421" t="s">
        <v>2026</v>
      </c>
    </row>
    <row r="1461" spans="6:7" x14ac:dyDescent="0.2">
      <c r="F1461" s="421">
        <v>28733</v>
      </c>
      <c r="G1461" s="421" t="s">
        <v>2027</v>
      </c>
    </row>
    <row r="1462" spans="6:7" x14ac:dyDescent="0.2">
      <c r="F1462" s="421">
        <v>28735</v>
      </c>
      <c r="G1462" s="421" t="s">
        <v>2028</v>
      </c>
    </row>
    <row r="1463" spans="6:7" x14ac:dyDescent="0.2">
      <c r="F1463" s="421">
        <v>28737</v>
      </c>
      <c r="G1463" s="421" t="s">
        <v>2029</v>
      </c>
    </row>
    <row r="1464" spans="6:7" x14ac:dyDescent="0.2">
      <c r="F1464" s="421">
        <v>28738</v>
      </c>
      <c r="G1464" s="421" t="s">
        <v>2030</v>
      </c>
    </row>
    <row r="1465" spans="6:7" x14ac:dyDescent="0.2">
      <c r="F1465" s="421">
        <v>28739</v>
      </c>
      <c r="G1465" s="421" t="s">
        <v>2031</v>
      </c>
    </row>
    <row r="1466" spans="6:7" x14ac:dyDescent="0.2">
      <c r="F1466" s="421">
        <v>28740</v>
      </c>
      <c r="G1466" s="421" t="s">
        <v>2032</v>
      </c>
    </row>
    <row r="1467" spans="6:7" x14ac:dyDescent="0.2">
      <c r="F1467" s="421">
        <v>28742</v>
      </c>
      <c r="G1467" s="421" t="s">
        <v>2033</v>
      </c>
    </row>
    <row r="1468" spans="6:7" x14ac:dyDescent="0.2">
      <c r="F1468" s="421">
        <v>28743</v>
      </c>
      <c r="G1468" s="421" t="s">
        <v>2034</v>
      </c>
    </row>
    <row r="1469" spans="6:7" x14ac:dyDescent="0.2">
      <c r="F1469" s="421">
        <v>28750</v>
      </c>
      <c r="G1469" s="421" t="s">
        <v>2035</v>
      </c>
    </row>
    <row r="1470" spans="6:7" x14ac:dyDescent="0.2">
      <c r="F1470" s="421">
        <v>28752</v>
      </c>
      <c r="G1470" s="421" t="s">
        <v>2036</v>
      </c>
    </row>
    <row r="1471" spans="6:7" x14ac:dyDescent="0.2">
      <c r="F1471" s="421">
        <v>28753</v>
      </c>
      <c r="G1471" s="421" t="s">
        <v>2037</v>
      </c>
    </row>
    <row r="1472" spans="6:7" x14ac:dyDescent="0.2">
      <c r="F1472" s="421">
        <v>28756</v>
      </c>
      <c r="G1472" s="421" t="s">
        <v>2038</v>
      </c>
    </row>
    <row r="1473" spans="6:7" x14ac:dyDescent="0.2">
      <c r="F1473" s="421">
        <v>28760</v>
      </c>
      <c r="G1473" s="421" t="s">
        <v>2039</v>
      </c>
    </row>
    <row r="1474" spans="6:7" x14ac:dyDescent="0.2">
      <c r="F1474" s="421">
        <v>28761</v>
      </c>
      <c r="G1474" s="421" t="s">
        <v>2040</v>
      </c>
    </row>
    <row r="1475" spans="6:7" x14ac:dyDescent="0.2">
      <c r="F1475" s="421">
        <v>28764</v>
      </c>
      <c r="G1475" s="421" t="s">
        <v>2041</v>
      </c>
    </row>
    <row r="1476" spans="6:7" x14ac:dyDescent="0.2">
      <c r="F1476" s="421">
        <v>28765</v>
      </c>
      <c r="G1476" s="421" t="s">
        <v>2042</v>
      </c>
    </row>
    <row r="1477" spans="6:7" x14ac:dyDescent="0.2">
      <c r="F1477" s="421">
        <v>28770</v>
      </c>
      <c r="G1477" s="421" t="s">
        <v>2043</v>
      </c>
    </row>
    <row r="1478" spans="6:7" x14ac:dyDescent="0.2">
      <c r="F1478" s="421">
        <v>28775</v>
      </c>
      <c r="G1478" s="421" t="s">
        <v>2044</v>
      </c>
    </row>
    <row r="1479" spans="6:7" x14ac:dyDescent="0.2">
      <c r="F1479" s="421">
        <v>28776</v>
      </c>
      <c r="G1479" s="421" t="s">
        <v>2045</v>
      </c>
    </row>
    <row r="1480" spans="6:7" x14ac:dyDescent="0.2">
      <c r="F1480" s="421">
        <v>28777</v>
      </c>
      <c r="G1480" s="421" t="s">
        <v>2046</v>
      </c>
    </row>
    <row r="1481" spans="6:7" x14ac:dyDescent="0.2">
      <c r="F1481" s="421">
        <v>28779</v>
      </c>
      <c r="G1481" s="421" t="s">
        <v>2047</v>
      </c>
    </row>
    <row r="1482" spans="6:7" x14ac:dyDescent="0.2">
      <c r="F1482" s="421">
        <v>28785</v>
      </c>
      <c r="G1482" s="421" t="s">
        <v>2048</v>
      </c>
    </row>
    <row r="1483" spans="6:7" x14ac:dyDescent="0.2">
      <c r="F1483" s="421">
        <v>28787</v>
      </c>
      <c r="G1483" s="421" t="s">
        <v>2049</v>
      </c>
    </row>
    <row r="1484" spans="6:7" x14ac:dyDescent="0.2">
      <c r="F1484" s="421">
        <v>28788</v>
      </c>
      <c r="G1484" s="421" t="s">
        <v>2050</v>
      </c>
    </row>
    <row r="1485" spans="6:7" x14ac:dyDescent="0.2">
      <c r="F1485" s="421">
        <v>28789</v>
      </c>
      <c r="G1485" s="421" t="s">
        <v>2744</v>
      </c>
    </row>
    <row r="1486" spans="6:7" x14ac:dyDescent="0.2">
      <c r="F1486" s="421">
        <v>28790</v>
      </c>
      <c r="G1486" s="421" t="s">
        <v>2051</v>
      </c>
    </row>
    <row r="1487" spans="6:7" x14ac:dyDescent="0.2">
      <c r="F1487" s="421">
        <v>28792</v>
      </c>
      <c r="G1487" s="421" t="s">
        <v>2052</v>
      </c>
    </row>
    <row r="1488" spans="6:7" x14ac:dyDescent="0.2">
      <c r="F1488" s="421">
        <v>28793</v>
      </c>
      <c r="G1488" s="421" t="s">
        <v>2053</v>
      </c>
    </row>
    <row r="1489" spans="6:7" x14ac:dyDescent="0.2">
      <c r="F1489" s="421">
        <v>28799</v>
      </c>
      <c r="G1489" s="421" t="s">
        <v>3304</v>
      </c>
    </row>
    <row r="1490" spans="6:7" x14ac:dyDescent="0.2">
      <c r="F1490" s="421">
        <v>28807</v>
      </c>
      <c r="G1490" s="421" t="s">
        <v>3305</v>
      </c>
    </row>
    <row r="1491" spans="6:7" x14ac:dyDescent="0.2">
      <c r="F1491" s="421">
        <v>28809</v>
      </c>
      <c r="G1491" s="421" t="s">
        <v>2054</v>
      </c>
    </row>
    <row r="1492" spans="6:7" x14ac:dyDescent="0.2">
      <c r="F1492" s="421">
        <v>28811</v>
      </c>
      <c r="G1492" s="421" t="s">
        <v>3306</v>
      </c>
    </row>
    <row r="1493" spans="6:7" x14ac:dyDescent="0.2">
      <c r="F1493" s="421">
        <v>28812</v>
      </c>
      <c r="G1493" s="421" t="s">
        <v>2055</v>
      </c>
    </row>
    <row r="1494" spans="6:7" x14ac:dyDescent="0.2">
      <c r="F1494" s="421">
        <v>28813</v>
      </c>
      <c r="G1494" s="421" t="s">
        <v>2056</v>
      </c>
    </row>
    <row r="1495" spans="6:7" x14ac:dyDescent="0.2">
      <c r="F1495" s="421">
        <v>28823</v>
      </c>
      <c r="G1495" s="421" t="s">
        <v>2057</v>
      </c>
    </row>
    <row r="1496" spans="6:7" x14ac:dyDescent="0.2">
      <c r="F1496" s="421">
        <v>28826</v>
      </c>
      <c r="G1496" s="421" t="s">
        <v>2058</v>
      </c>
    </row>
    <row r="1497" spans="6:7" x14ac:dyDescent="0.2">
      <c r="F1497" s="421">
        <v>28827</v>
      </c>
      <c r="G1497" s="421" t="s">
        <v>2059</v>
      </c>
    </row>
    <row r="1498" spans="6:7" x14ac:dyDescent="0.2">
      <c r="F1498" s="421">
        <v>28828</v>
      </c>
      <c r="G1498" s="421" t="s">
        <v>2060</v>
      </c>
    </row>
    <row r="1499" spans="6:7" x14ac:dyDescent="0.2">
      <c r="F1499" s="421">
        <v>28831</v>
      </c>
      <c r="G1499" s="421" t="s">
        <v>2061</v>
      </c>
    </row>
    <row r="1500" spans="6:7" x14ac:dyDescent="0.2">
      <c r="F1500" s="421">
        <v>28833</v>
      </c>
      <c r="G1500" s="421" t="s">
        <v>2062</v>
      </c>
    </row>
    <row r="1501" spans="6:7" x14ac:dyDescent="0.2">
      <c r="F1501" s="421">
        <v>28834</v>
      </c>
      <c r="G1501" s="421" t="s">
        <v>2063</v>
      </c>
    </row>
    <row r="1502" spans="6:7" x14ac:dyDescent="0.2">
      <c r="F1502" s="421">
        <v>28839</v>
      </c>
      <c r="G1502" s="421" t="s">
        <v>2745</v>
      </c>
    </row>
    <row r="1503" spans="6:7" x14ac:dyDescent="0.2">
      <c r="F1503" s="421">
        <v>28840</v>
      </c>
      <c r="G1503" s="421" t="s">
        <v>2064</v>
      </c>
    </row>
    <row r="1504" spans="6:7" x14ac:dyDescent="0.2">
      <c r="F1504" s="421">
        <v>28853</v>
      </c>
      <c r="G1504" s="421" t="s">
        <v>2065</v>
      </c>
    </row>
    <row r="1505" spans="6:7" x14ac:dyDescent="0.2">
      <c r="F1505" s="421">
        <v>28858</v>
      </c>
      <c r="G1505" s="421" t="s">
        <v>2066</v>
      </c>
    </row>
    <row r="1506" spans="6:7" x14ac:dyDescent="0.2">
      <c r="F1506" s="421">
        <v>28861</v>
      </c>
      <c r="G1506" s="421" t="s">
        <v>2067</v>
      </c>
    </row>
    <row r="1507" spans="6:7" x14ac:dyDescent="0.2">
      <c r="F1507" s="421">
        <v>28869</v>
      </c>
      <c r="G1507" s="421" t="s">
        <v>2068</v>
      </c>
    </row>
    <row r="1508" spans="6:7" x14ac:dyDescent="0.2">
      <c r="F1508" s="421">
        <v>28874</v>
      </c>
      <c r="G1508" s="421" t="s">
        <v>2069</v>
      </c>
    </row>
    <row r="1509" spans="6:7" x14ac:dyDescent="0.2">
      <c r="F1509" s="421">
        <v>28875</v>
      </c>
      <c r="G1509" s="421" t="s">
        <v>3307</v>
      </c>
    </row>
    <row r="1510" spans="6:7" x14ac:dyDescent="0.2">
      <c r="F1510" s="421">
        <v>28877</v>
      </c>
      <c r="G1510" s="421" t="s">
        <v>2070</v>
      </c>
    </row>
    <row r="1511" spans="6:7" x14ac:dyDescent="0.2">
      <c r="F1511" s="421">
        <v>28880</v>
      </c>
      <c r="G1511" s="421" t="s">
        <v>2071</v>
      </c>
    </row>
    <row r="1512" spans="6:7" x14ac:dyDescent="0.2">
      <c r="F1512" s="421">
        <v>28882</v>
      </c>
      <c r="G1512" s="421" t="s">
        <v>2072</v>
      </c>
    </row>
    <row r="1513" spans="6:7" x14ac:dyDescent="0.2">
      <c r="F1513" s="421">
        <v>28887</v>
      </c>
      <c r="G1513" s="421" t="s">
        <v>2073</v>
      </c>
    </row>
    <row r="1514" spans="6:7" x14ac:dyDescent="0.2">
      <c r="F1514" s="421">
        <v>28897</v>
      </c>
      <c r="G1514" s="421" t="s">
        <v>2074</v>
      </c>
    </row>
    <row r="1515" spans="6:7" x14ac:dyDescent="0.2">
      <c r="F1515" s="421">
        <v>28912</v>
      </c>
      <c r="G1515" s="421" t="s">
        <v>2075</v>
      </c>
    </row>
    <row r="1516" spans="6:7" x14ac:dyDescent="0.2">
      <c r="F1516" s="421">
        <v>28924</v>
      </c>
      <c r="G1516" s="421" t="s">
        <v>3308</v>
      </c>
    </row>
    <row r="1517" spans="6:7" x14ac:dyDescent="0.2">
      <c r="F1517" s="421">
        <v>28925</v>
      </c>
      <c r="G1517" s="421" t="s">
        <v>3309</v>
      </c>
    </row>
    <row r="1518" spans="6:7" x14ac:dyDescent="0.2">
      <c r="F1518" s="421">
        <v>28932</v>
      </c>
      <c r="G1518" s="421" t="s">
        <v>2076</v>
      </c>
    </row>
    <row r="1519" spans="6:7" x14ac:dyDescent="0.2">
      <c r="F1519" s="421">
        <v>28936</v>
      </c>
      <c r="G1519" s="421" t="s">
        <v>2077</v>
      </c>
    </row>
    <row r="1520" spans="6:7" x14ac:dyDescent="0.2">
      <c r="F1520" s="421">
        <v>28944</v>
      </c>
      <c r="G1520" s="421" t="s">
        <v>2078</v>
      </c>
    </row>
    <row r="1521" spans="6:7" x14ac:dyDescent="0.2">
      <c r="F1521" s="421">
        <v>28948</v>
      </c>
      <c r="G1521" s="421" t="s">
        <v>2079</v>
      </c>
    </row>
    <row r="1522" spans="6:7" x14ac:dyDescent="0.2">
      <c r="F1522" s="421">
        <v>28955</v>
      </c>
      <c r="G1522" s="421" t="s">
        <v>2080</v>
      </c>
    </row>
    <row r="1523" spans="6:7" x14ac:dyDescent="0.2">
      <c r="F1523" s="421">
        <v>28967</v>
      </c>
      <c r="G1523" s="421" t="s">
        <v>2081</v>
      </c>
    </row>
    <row r="1524" spans="6:7" x14ac:dyDescent="0.2">
      <c r="F1524" s="421">
        <v>28977</v>
      </c>
      <c r="G1524" s="421" t="s">
        <v>2082</v>
      </c>
    </row>
    <row r="1525" spans="6:7" x14ac:dyDescent="0.2">
      <c r="F1525" s="421">
        <v>28980</v>
      </c>
      <c r="G1525" s="421" t="s">
        <v>2083</v>
      </c>
    </row>
    <row r="1526" spans="6:7" x14ac:dyDescent="0.2">
      <c r="F1526" s="421">
        <v>28988</v>
      </c>
      <c r="G1526" s="421" t="s">
        <v>2084</v>
      </c>
    </row>
    <row r="1527" spans="6:7" x14ac:dyDescent="0.2">
      <c r="F1527" s="421">
        <v>28992</v>
      </c>
      <c r="G1527" s="421" t="s">
        <v>2085</v>
      </c>
    </row>
    <row r="1528" spans="6:7" x14ac:dyDescent="0.2">
      <c r="F1528" s="421">
        <v>28994</v>
      </c>
      <c r="G1528" s="421" t="s">
        <v>2086</v>
      </c>
    </row>
    <row r="1529" spans="6:7" x14ac:dyDescent="0.2">
      <c r="F1529" s="421">
        <v>29011</v>
      </c>
      <c r="G1529" s="421" t="s">
        <v>2087</v>
      </c>
    </row>
    <row r="1530" spans="6:7" x14ac:dyDescent="0.2">
      <c r="F1530" s="421">
        <v>29019</v>
      </c>
      <c r="G1530" s="421" t="s">
        <v>3310</v>
      </c>
    </row>
    <row r="1531" spans="6:7" x14ac:dyDescent="0.2">
      <c r="F1531" s="421">
        <v>29095</v>
      </c>
      <c r="G1531" s="421" t="s">
        <v>2088</v>
      </c>
    </row>
    <row r="1532" spans="6:7" x14ac:dyDescent="0.2">
      <c r="F1532" s="421">
        <v>29096</v>
      </c>
      <c r="G1532" s="421" t="s">
        <v>2089</v>
      </c>
    </row>
    <row r="1533" spans="6:7" x14ac:dyDescent="0.2">
      <c r="F1533" s="421">
        <v>29125</v>
      </c>
      <c r="G1533" s="421" t="s">
        <v>2090</v>
      </c>
    </row>
    <row r="1534" spans="6:7" x14ac:dyDescent="0.2">
      <c r="F1534" s="421">
        <v>29127</v>
      </c>
      <c r="G1534" s="421" t="s">
        <v>2091</v>
      </c>
    </row>
    <row r="1535" spans="6:7" x14ac:dyDescent="0.2">
      <c r="F1535" s="421">
        <v>29168</v>
      </c>
      <c r="G1535" s="421" t="s">
        <v>2092</v>
      </c>
    </row>
    <row r="1536" spans="6:7" x14ac:dyDescent="0.2">
      <c r="F1536" s="421">
        <v>29169</v>
      </c>
      <c r="G1536" s="421" t="s">
        <v>2093</v>
      </c>
    </row>
    <row r="1537" spans="6:7" x14ac:dyDescent="0.2">
      <c r="F1537" s="421">
        <v>29197</v>
      </c>
      <c r="G1537" s="421" t="s">
        <v>2094</v>
      </c>
    </row>
    <row r="1538" spans="6:7" x14ac:dyDescent="0.2">
      <c r="F1538" s="421">
        <v>29219</v>
      </c>
      <c r="G1538" s="421" t="s">
        <v>2095</v>
      </c>
    </row>
    <row r="1539" spans="6:7" x14ac:dyDescent="0.2">
      <c r="F1539" s="421">
        <v>29228</v>
      </c>
      <c r="G1539" s="421" t="s">
        <v>2096</v>
      </c>
    </row>
    <row r="1540" spans="6:7" x14ac:dyDescent="0.2">
      <c r="F1540" s="421">
        <v>29229</v>
      </c>
      <c r="G1540" s="421" t="s">
        <v>2097</v>
      </c>
    </row>
    <row r="1541" spans="6:7" x14ac:dyDescent="0.2">
      <c r="F1541" s="421">
        <v>29245</v>
      </c>
      <c r="G1541" s="421" t="s">
        <v>2098</v>
      </c>
    </row>
    <row r="1542" spans="6:7" x14ac:dyDescent="0.2">
      <c r="F1542" s="421">
        <v>29252</v>
      </c>
      <c r="G1542" s="421" t="s">
        <v>2099</v>
      </c>
    </row>
    <row r="1543" spans="6:7" x14ac:dyDescent="0.2">
      <c r="F1543" s="421">
        <v>29264</v>
      </c>
      <c r="G1543" s="421" t="s">
        <v>2100</v>
      </c>
    </row>
    <row r="1544" spans="6:7" x14ac:dyDescent="0.2">
      <c r="F1544" s="421">
        <v>29270</v>
      </c>
      <c r="G1544" s="421" t="s">
        <v>2101</v>
      </c>
    </row>
    <row r="1545" spans="6:7" x14ac:dyDescent="0.2">
      <c r="F1545" s="421">
        <v>29271</v>
      </c>
      <c r="G1545" s="421" t="s">
        <v>2102</v>
      </c>
    </row>
    <row r="1546" spans="6:7" x14ac:dyDescent="0.2">
      <c r="F1546" s="421">
        <v>29272</v>
      </c>
      <c r="G1546" s="421" t="s">
        <v>2103</v>
      </c>
    </row>
    <row r="1547" spans="6:7" x14ac:dyDescent="0.2">
      <c r="F1547" s="421">
        <v>29273</v>
      </c>
      <c r="G1547" s="421" t="s">
        <v>2104</v>
      </c>
    </row>
    <row r="1548" spans="6:7" x14ac:dyDescent="0.2">
      <c r="F1548" s="421">
        <v>29274</v>
      </c>
      <c r="G1548" s="421" t="s">
        <v>2105</v>
      </c>
    </row>
    <row r="1549" spans="6:7" x14ac:dyDescent="0.2">
      <c r="F1549" s="421">
        <v>29279</v>
      </c>
      <c r="G1549" s="421" t="s">
        <v>2106</v>
      </c>
    </row>
    <row r="1550" spans="6:7" x14ac:dyDescent="0.2">
      <c r="F1550" s="421">
        <v>29282</v>
      </c>
      <c r="G1550" s="421" t="s">
        <v>2107</v>
      </c>
    </row>
    <row r="1551" spans="6:7" x14ac:dyDescent="0.2">
      <c r="F1551" s="421">
        <v>29285</v>
      </c>
      <c r="G1551" s="421" t="s">
        <v>2108</v>
      </c>
    </row>
    <row r="1552" spans="6:7" x14ac:dyDescent="0.2">
      <c r="F1552" s="421">
        <v>29287</v>
      </c>
      <c r="G1552" s="421" t="s">
        <v>2109</v>
      </c>
    </row>
    <row r="1553" spans="6:7" x14ac:dyDescent="0.2">
      <c r="F1553" s="421">
        <v>29291</v>
      </c>
      <c r="G1553" s="421" t="s">
        <v>2110</v>
      </c>
    </row>
    <row r="1554" spans="6:7" x14ac:dyDescent="0.2">
      <c r="F1554" s="421">
        <v>29292</v>
      </c>
      <c r="G1554" s="421" t="s">
        <v>2111</v>
      </c>
    </row>
    <row r="1555" spans="6:7" x14ac:dyDescent="0.2">
      <c r="F1555" s="421">
        <v>29296</v>
      </c>
      <c r="G1555" s="421" t="s">
        <v>2112</v>
      </c>
    </row>
    <row r="1556" spans="6:7" x14ac:dyDescent="0.2">
      <c r="F1556" s="421">
        <v>29301</v>
      </c>
      <c r="G1556" s="421" t="s">
        <v>2113</v>
      </c>
    </row>
    <row r="1557" spans="6:7" x14ac:dyDescent="0.2">
      <c r="F1557" s="421">
        <v>29304</v>
      </c>
      <c r="G1557" s="421" t="s">
        <v>2114</v>
      </c>
    </row>
    <row r="1558" spans="6:7" x14ac:dyDescent="0.2">
      <c r="F1558" s="421">
        <v>29306</v>
      </c>
      <c r="G1558" s="421" t="s">
        <v>2746</v>
      </c>
    </row>
    <row r="1559" spans="6:7" x14ac:dyDescent="0.2">
      <c r="F1559" s="421">
        <v>29312</v>
      </c>
      <c r="G1559" s="421" t="s">
        <v>2115</v>
      </c>
    </row>
    <row r="1560" spans="6:7" x14ac:dyDescent="0.2">
      <c r="F1560" s="421">
        <v>29316</v>
      </c>
      <c r="G1560" s="421" t="s">
        <v>2116</v>
      </c>
    </row>
    <row r="1561" spans="6:7" x14ac:dyDescent="0.2">
      <c r="F1561" s="421">
        <v>29323</v>
      </c>
      <c r="G1561" s="421" t="s">
        <v>2117</v>
      </c>
    </row>
    <row r="1562" spans="6:7" x14ac:dyDescent="0.2">
      <c r="F1562" s="421">
        <v>29325</v>
      </c>
      <c r="G1562" s="421" t="s">
        <v>2118</v>
      </c>
    </row>
    <row r="1563" spans="6:7" x14ac:dyDescent="0.2">
      <c r="F1563" s="421">
        <v>29326</v>
      </c>
      <c r="G1563" s="421" t="s">
        <v>2119</v>
      </c>
    </row>
    <row r="1564" spans="6:7" x14ac:dyDescent="0.2">
      <c r="F1564" s="421">
        <v>29331</v>
      </c>
      <c r="G1564" s="421" t="s">
        <v>2120</v>
      </c>
    </row>
    <row r="1565" spans="6:7" x14ac:dyDescent="0.2">
      <c r="F1565" s="421">
        <v>29334</v>
      </c>
      <c r="G1565" s="421" t="s">
        <v>2121</v>
      </c>
    </row>
    <row r="1566" spans="6:7" x14ac:dyDescent="0.2">
      <c r="F1566" s="421">
        <v>29335</v>
      </c>
      <c r="G1566" s="421" t="s">
        <v>2122</v>
      </c>
    </row>
    <row r="1567" spans="6:7" x14ac:dyDescent="0.2">
      <c r="F1567" s="421">
        <v>29339</v>
      </c>
      <c r="G1567" s="421" t="s">
        <v>2123</v>
      </c>
    </row>
    <row r="1568" spans="6:7" x14ac:dyDescent="0.2">
      <c r="F1568" s="421">
        <v>29340</v>
      </c>
      <c r="G1568" s="421" t="s">
        <v>2124</v>
      </c>
    </row>
    <row r="1569" spans="6:7" x14ac:dyDescent="0.2">
      <c r="F1569" s="421">
        <v>29341</v>
      </c>
      <c r="G1569" s="421" t="s">
        <v>2125</v>
      </c>
    </row>
    <row r="1570" spans="6:7" x14ac:dyDescent="0.2">
      <c r="F1570" s="421">
        <v>29344</v>
      </c>
      <c r="G1570" s="421" t="s">
        <v>2126</v>
      </c>
    </row>
    <row r="1571" spans="6:7" x14ac:dyDescent="0.2">
      <c r="F1571" s="421">
        <v>29346</v>
      </c>
      <c r="G1571" s="421" t="s">
        <v>2127</v>
      </c>
    </row>
    <row r="1572" spans="6:7" x14ac:dyDescent="0.2">
      <c r="F1572" s="421">
        <v>29347</v>
      </c>
      <c r="G1572" s="421" t="s">
        <v>2128</v>
      </c>
    </row>
    <row r="1573" spans="6:7" x14ac:dyDescent="0.2">
      <c r="F1573" s="421">
        <v>29354</v>
      </c>
      <c r="G1573" s="421" t="s">
        <v>2747</v>
      </c>
    </row>
    <row r="1574" spans="6:7" x14ac:dyDescent="0.2">
      <c r="F1574" s="421">
        <v>29356</v>
      </c>
      <c r="G1574" s="421" t="s">
        <v>2129</v>
      </c>
    </row>
    <row r="1575" spans="6:7" x14ac:dyDescent="0.2">
      <c r="F1575" s="421">
        <v>29364</v>
      </c>
      <c r="G1575" s="421" t="s">
        <v>2130</v>
      </c>
    </row>
    <row r="1576" spans="6:7" x14ac:dyDescent="0.2">
      <c r="F1576" s="421">
        <v>29365</v>
      </c>
      <c r="G1576" s="421" t="s">
        <v>2131</v>
      </c>
    </row>
    <row r="1577" spans="6:7" x14ac:dyDescent="0.2">
      <c r="F1577" s="421">
        <v>29366</v>
      </c>
      <c r="G1577" s="421" t="s">
        <v>2132</v>
      </c>
    </row>
    <row r="1578" spans="6:7" x14ac:dyDescent="0.2">
      <c r="F1578" s="421">
        <v>29367</v>
      </c>
      <c r="G1578" s="421" t="s">
        <v>2133</v>
      </c>
    </row>
    <row r="1579" spans="6:7" x14ac:dyDescent="0.2">
      <c r="F1579" s="421">
        <v>29369</v>
      </c>
      <c r="G1579" s="421" t="s">
        <v>2134</v>
      </c>
    </row>
    <row r="1580" spans="6:7" x14ac:dyDescent="0.2">
      <c r="F1580" s="421">
        <v>29370</v>
      </c>
      <c r="G1580" s="421" t="s">
        <v>3311</v>
      </c>
    </row>
    <row r="1581" spans="6:7" x14ac:dyDescent="0.2">
      <c r="F1581" s="421">
        <v>29372</v>
      </c>
      <c r="G1581" s="421" t="s">
        <v>2135</v>
      </c>
    </row>
    <row r="1582" spans="6:7" x14ac:dyDescent="0.2">
      <c r="F1582" s="421">
        <v>29373</v>
      </c>
      <c r="G1582" s="421" t="s">
        <v>2136</v>
      </c>
    </row>
    <row r="1583" spans="6:7" x14ac:dyDescent="0.2">
      <c r="F1583" s="421">
        <v>29374</v>
      </c>
      <c r="G1583" s="421" t="s">
        <v>2137</v>
      </c>
    </row>
    <row r="1584" spans="6:7" x14ac:dyDescent="0.2">
      <c r="F1584" s="421">
        <v>29377</v>
      </c>
      <c r="G1584" s="421" t="s">
        <v>2138</v>
      </c>
    </row>
    <row r="1585" spans="6:7" x14ac:dyDescent="0.2">
      <c r="F1585" s="421">
        <v>29380</v>
      </c>
      <c r="G1585" s="421" t="s">
        <v>2139</v>
      </c>
    </row>
    <row r="1586" spans="6:7" x14ac:dyDescent="0.2">
      <c r="F1586" s="421">
        <v>29381</v>
      </c>
      <c r="G1586" s="421" t="s">
        <v>2140</v>
      </c>
    </row>
    <row r="1587" spans="6:7" x14ac:dyDescent="0.2">
      <c r="F1587" s="421">
        <v>29383</v>
      </c>
      <c r="G1587" s="421" t="s">
        <v>2141</v>
      </c>
    </row>
    <row r="1588" spans="6:7" x14ac:dyDescent="0.2">
      <c r="F1588" s="421">
        <v>29384</v>
      </c>
      <c r="G1588" s="421" t="s">
        <v>2142</v>
      </c>
    </row>
    <row r="1589" spans="6:7" x14ac:dyDescent="0.2">
      <c r="F1589" s="421">
        <v>29386</v>
      </c>
      <c r="G1589" s="421" t="s">
        <v>2143</v>
      </c>
    </row>
    <row r="1590" spans="6:7" x14ac:dyDescent="0.2">
      <c r="F1590" s="421">
        <v>29387</v>
      </c>
      <c r="G1590" s="421" t="s">
        <v>2144</v>
      </c>
    </row>
    <row r="1591" spans="6:7" x14ac:dyDescent="0.2">
      <c r="F1591" s="421">
        <v>29388</v>
      </c>
      <c r="G1591" s="421" t="s">
        <v>2145</v>
      </c>
    </row>
    <row r="1592" spans="6:7" x14ac:dyDescent="0.2">
      <c r="F1592" s="421">
        <v>29390</v>
      </c>
      <c r="G1592" s="421" t="s">
        <v>2146</v>
      </c>
    </row>
    <row r="1593" spans="6:7" x14ac:dyDescent="0.2">
      <c r="F1593" s="421">
        <v>29391</v>
      </c>
      <c r="G1593" s="421" t="s">
        <v>2147</v>
      </c>
    </row>
    <row r="1594" spans="6:7" x14ac:dyDescent="0.2">
      <c r="F1594" s="421">
        <v>29392</v>
      </c>
      <c r="G1594" s="421" t="s">
        <v>2148</v>
      </c>
    </row>
    <row r="1595" spans="6:7" x14ac:dyDescent="0.2">
      <c r="F1595" s="421">
        <v>29393</v>
      </c>
      <c r="G1595" s="421" t="s">
        <v>2149</v>
      </c>
    </row>
    <row r="1596" spans="6:7" x14ac:dyDescent="0.2">
      <c r="F1596" s="421">
        <v>29395</v>
      </c>
      <c r="G1596" s="421" t="s">
        <v>2150</v>
      </c>
    </row>
    <row r="1597" spans="6:7" x14ac:dyDescent="0.2">
      <c r="F1597" s="421">
        <v>29396</v>
      </c>
      <c r="G1597" s="421" t="s">
        <v>2151</v>
      </c>
    </row>
    <row r="1598" spans="6:7" x14ac:dyDescent="0.2">
      <c r="F1598" s="421">
        <v>29397</v>
      </c>
      <c r="G1598" s="421" t="s">
        <v>2152</v>
      </c>
    </row>
    <row r="1599" spans="6:7" x14ac:dyDescent="0.2">
      <c r="F1599" s="421">
        <v>29398</v>
      </c>
      <c r="G1599" s="421" t="s">
        <v>2153</v>
      </c>
    </row>
    <row r="1600" spans="6:7" x14ac:dyDescent="0.2">
      <c r="F1600" s="421">
        <v>29400</v>
      </c>
      <c r="G1600" s="421" t="s">
        <v>2154</v>
      </c>
    </row>
    <row r="1601" spans="6:7" x14ac:dyDescent="0.2">
      <c r="F1601" s="421">
        <v>29401</v>
      </c>
      <c r="G1601" s="421" t="s">
        <v>2155</v>
      </c>
    </row>
    <row r="1602" spans="6:7" x14ac:dyDescent="0.2">
      <c r="F1602" s="421">
        <v>29403</v>
      </c>
      <c r="G1602" s="421" t="s">
        <v>2156</v>
      </c>
    </row>
    <row r="1603" spans="6:7" x14ac:dyDescent="0.2">
      <c r="F1603" s="421">
        <v>29405</v>
      </c>
      <c r="G1603" s="421" t="s">
        <v>2157</v>
      </c>
    </row>
    <row r="1604" spans="6:7" x14ac:dyDescent="0.2">
      <c r="F1604" s="421">
        <v>29406</v>
      </c>
      <c r="G1604" s="421" t="s">
        <v>2158</v>
      </c>
    </row>
    <row r="1605" spans="6:7" x14ac:dyDescent="0.2">
      <c r="F1605" s="421">
        <v>29407</v>
      </c>
      <c r="G1605" s="421" t="s">
        <v>2159</v>
      </c>
    </row>
    <row r="1606" spans="6:7" x14ac:dyDescent="0.2">
      <c r="F1606" s="421">
        <v>29408</v>
      </c>
      <c r="G1606" s="421" t="s">
        <v>2160</v>
      </c>
    </row>
    <row r="1607" spans="6:7" x14ac:dyDescent="0.2">
      <c r="F1607" s="421">
        <v>29409</v>
      </c>
      <c r="G1607" s="421" t="s">
        <v>2161</v>
      </c>
    </row>
    <row r="1608" spans="6:7" x14ac:dyDescent="0.2">
      <c r="F1608" s="421">
        <v>29410</v>
      </c>
      <c r="G1608" s="421" t="s">
        <v>2162</v>
      </c>
    </row>
    <row r="1609" spans="6:7" x14ac:dyDescent="0.2">
      <c r="F1609" s="421">
        <v>29412</v>
      </c>
      <c r="G1609" s="421" t="s">
        <v>3312</v>
      </c>
    </row>
    <row r="1610" spans="6:7" x14ac:dyDescent="0.2">
      <c r="F1610" s="421">
        <v>29413</v>
      </c>
      <c r="G1610" s="421" t="s">
        <v>2163</v>
      </c>
    </row>
    <row r="1611" spans="6:7" x14ac:dyDescent="0.2">
      <c r="F1611" s="421">
        <v>29415</v>
      </c>
      <c r="G1611" s="421" t="s">
        <v>2164</v>
      </c>
    </row>
    <row r="1612" spans="6:7" x14ac:dyDescent="0.2">
      <c r="F1612" s="421">
        <v>29417</v>
      </c>
      <c r="G1612" s="421" t="s">
        <v>2165</v>
      </c>
    </row>
    <row r="1613" spans="6:7" x14ac:dyDescent="0.2">
      <c r="F1613" s="421">
        <v>29420</v>
      </c>
      <c r="G1613" s="421" t="s">
        <v>2166</v>
      </c>
    </row>
    <row r="1614" spans="6:7" x14ac:dyDescent="0.2">
      <c r="F1614" s="421">
        <v>29421</v>
      </c>
      <c r="G1614" s="421" t="s">
        <v>2167</v>
      </c>
    </row>
    <row r="1615" spans="6:7" x14ac:dyDescent="0.2">
      <c r="F1615" s="421">
        <v>29432</v>
      </c>
      <c r="G1615" s="421" t="s">
        <v>2168</v>
      </c>
    </row>
    <row r="1616" spans="6:7" x14ac:dyDescent="0.2">
      <c r="F1616" s="421">
        <v>29438</v>
      </c>
      <c r="G1616" s="421" t="s">
        <v>2169</v>
      </c>
    </row>
    <row r="1617" spans="6:7" x14ac:dyDescent="0.2">
      <c r="F1617" s="421">
        <v>29440</v>
      </c>
      <c r="G1617" s="421" t="s">
        <v>2170</v>
      </c>
    </row>
    <row r="1618" spans="6:7" x14ac:dyDescent="0.2">
      <c r="F1618" s="421">
        <v>29442</v>
      </c>
      <c r="G1618" s="421" t="s">
        <v>2171</v>
      </c>
    </row>
    <row r="1619" spans="6:7" x14ac:dyDescent="0.2">
      <c r="F1619" s="421">
        <v>29447</v>
      </c>
      <c r="G1619" s="421" t="s">
        <v>2172</v>
      </c>
    </row>
    <row r="1620" spans="6:7" x14ac:dyDescent="0.2">
      <c r="F1620" s="421">
        <v>29449</v>
      </c>
      <c r="G1620" s="421" t="s">
        <v>2173</v>
      </c>
    </row>
    <row r="1621" spans="6:7" x14ac:dyDescent="0.2">
      <c r="F1621" s="421">
        <v>29452</v>
      </c>
      <c r="G1621" s="421" t="s">
        <v>3313</v>
      </c>
    </row>
    <row r="1622" spans="6:7" x14ac:dyDescent="0.2">
      <c r="F1622" s="421">
        <v>29453</v>
      </c>
      <c r="G1622" s="421" t="s">
        <v>2174</v>
      </c>
    </row>
    <row r="1623" spans="6:7" x14ac:dyDescent="0.2">
      <c r="F1623" s="421">
        <v>29454</v>
      </c>
      <c r="G1623" s="421" t="s">
        <v>2175</v>
      </c>
    </row>
    <row r="1624" spans="6:7" x14ac:dyDescent="0.2">
      <c r="F1624" s="421">
        <v>29455</v>
      </c>
      <c r="G1624" s="421" t="s">
        <v>2176</v>
      </c>
    </row>
    <row r="1625" spans="6:7" x14ac:dyDescent="0.2">
      <c r="F1625" s="421">
        <v>29458</v>
      </c>
      <c r="G1625" s="421" t="s">
        <v>2177</v>
      </c>
    </row>
    <row r="1626" spans="6:7" x14ac:dyDescent="0.2">
      <c r="F1626" s="421">
        <v>29459</v>
      </c>
      <c r="G1626" s="421" t="s">
        <v>2178</v>
      </c>
    </row>
    <row r="1627" spans="6:7" x14ac:dyDescent="0.2">
      <c r="F1627" s="421">
        <v>29460</v>
      </c>
      <c r="G1627" s="421" t="s">
        <v>2179</v>
      </c>
    </row>
    <row r="1628" spans="6:7" x14ac:dyDescent="0.2">
      <c r="F1628" s="421">
        <v>29462</v>
      </c>
      <c r="G1628" s="421" t="s">
        <v>2180</v>
      </c>
    </row>
    <row r="1629" spans="6:7" x14ac:dyDescent="0.2">
      <c r="F1629" s="421">
        <v>29463</v>
      </c>
      <c r="G1629" s="421" t="s">
        <v>2181</v>
      </c>
    </row>
    <row r="1630" spans="6:7" x14ac:dyDescent="0.2">
      <c r="F1630" s="421">
        <v>29467</v>
      </c>
      <c r="G1630" s="421" t="s">
        <v>2182</v>
      </c>
    </row>
    <row r="1631" spans="6:7" x14ac:dyDescent="0.2">
      <c r="F1631" s="421">
        <v>29469</v>
      </c>
      <c r="G1631" s="421" t="s">
        <v>2183</v>
      </c>
    </row>
    <row r="1632" spans="6:7" x14ac:dyDescent="0.2">
      <c r="F1632" s="421">
        <v>29470</v>
      </c>
      <c r="G1632" s="421" t="s">
        <v>2184</v>
      </c>
    </row>
    <row r="1633" spans="6:7" x14ac:dyDescent="0.2">
      <c r="F1633" s="421">
        <v>29472</v>
      </c>
      <c r="G1633" s="421" t="s">
        <v>2185</v>
      </c>
    </row>
    <row r="1634" spans="6:7" x14ac:dyDescent="0.2">
      <c r="F1634" s="421">
        <v>29473</v>
      </c>
      <c r="G1634" s="421" t="s">
        <v>2186</v>
      </c>
    </row>
    <row r="1635" spans="6:7" x14ac:dyDescent="0.2">
      <c r="F1635" s="421">
        <v>29474</v>
      </c>
      <c r="G1635" s="421" t="s">
        <v>2187</v>
      </c>
    </row>
    <row r="1636" spans="6:7" x14ac:dyDescent="0.2">
      <c r="F1636" s="421">
        <v>29476</v>
      </c>
      <c r="G1636" s="421" t="s">
        <v>2188</v>
      </c>
    </row>
    <row r="1637" spans="6:7" x14ac:dyDescent="0.2">
      <c r="F1637" s="421">
        <v>29479</v>
      </c>
      <c r="G1637" s="421" t="s">
        <v>2189</v>
      </c>
    </row>
    <row r="1638" spans="6:7" x14ac:dyDescent="0.2">
      <c r="F1638" s="421">
        <v>29480</v>
      </c>
      <c r="G1638" s="421" t="s">
        <v>2190</v>
      </c>
    </row>
    <row r="1639" spans="6:7" x14ac:dyDescent="0.2">
      <c r="F1639" s="421">
        <v>29482</v>
      </c>
      <c r="G1639" s="421" t="s">
        <v>2191</v>
      </c>
    </row>
    <row r="1640" spans="6:7" x14ac:dyDescent="0.2">
      <c r="F1640" s="421">
        <v>29483</v>
      </c>
      <c r="G1640" s="421" t="s">
        <v>2192</v>
      </c>
    </row>
    <row r="1641" spans="6:7" x14ac:dyDescent="0.2">
      <c r="F1641" s="421">
        <v>29484</v>
      </c>
      <c r="G1641" s="421" t="s">
        <v>2193</v>
      </c>
    </row>
    <row r="1642" spans="6:7" x14ac:dyDescent="0.2">
      <c r="F1642" s="421">
        <v>29486</v>
      </c>
      <c r="G1642" s="421" t="s">
        <v>2194</v>
      </c>
    </row>
    <row r="1643" spans="6:7" x14ac:dyDescent="0.2">
      <c r="F1643" s="421">
        <v>29488</v>
      </c>
      <c r="G1643" s="421" t="s">
        <v>2195</v>
      </c>
    </row>
    <row r="1644" spans="6:7" x14ac:dyDescent="0.2">
      <c r="F1644" s="421">
        <v>29489</v>
      </c>
      <c r="G1644" s="421" t="s">
        <v>2196</v>
      </c>
    </row>
    <row r="1645" spans="6:7" x14ac:dyDescent="0.2">
      <c r="F1645" s="421">
        <v>29490</v>
      </c>
      <c r="G1645" s="421" t="s">
        <v>2197</v>
      </c>
    </row>
    <row r="1646" spans="6:7" x14ac:dyDescent="0.2">
      <c r="F1646" s="421">
        <v>29492</v>
      </c>
      <c r="G1646" s="421" t="s">
        <v>2198</v>
      </c>
    </row>
    <row r="1647" spans="6:7" x14ac:dyDescent="0.2">
      <c r="F1647" s="421">
        <v>29493</v>
      </c>
      <c r="G1647" s="421" t="s">
        <v>2199</v>
      </c>
    </row>
    <row r="1648" spans="6:7" x14ac:dyDescent="0.2">
      <c r="F1648" s="421">
        <v>29494</v>
      </c>
      <c r="G1648" s="421" t="s">
        <v>2200</v>
      </c>
    </row>
    <row r="1649" spans="6:7" x14ac:dyDescent="0.2">
      <c r="F1649" s="421">
        <v>29495</v>
      </c>
      <c r="G1649" s="421" t="s">
        <v>2748</v>
      </c>
    </row>
    <row r="1650" spans="6:7" x14ac:dyDescent="0.2">
      <c r="F1650" s="421">
        <v>29496</v>
      </c>
      <c r="G1650" s="421" t="s">
        <v>2201</v>
      </c>
    </row>
    <row r="1651" spans="6:7" x14ac:dyDescent="0.2">
      <c r="F1651" s="421">
        <v>29497</v>
      </c>
      <c r="G1651" s="421" t="s">
        <v>2202</v>
      </c>
    </row>
    <row r="1652" spans="6:7" x14ac:dyDescent="0.2">
      <c r="F1652" s="421">
        <v>29500</v>
      </c>
      <c r="G1652" s="421" t="s">
        <v>2203</v>
      </c>
    </row>
    <row r="1653" spans="6:7" x14ac:dyDescent="0.2">
      <c r="F1653" s="421">
        <v>29501</v>
      </c>
      <c r="G1653" s="421" t="s">
        <v>2204</v>
      </c>
    </row>
    <row r="1654" spans="6:7" x14ac:dyDescent="0.2">
      <c r="F1654" s="421">
        <v>29502</v>
      </c>
      <c r="G1654" s="421" t="s">
        <v>2205</v>
      </c>
    </row>
    <row r="1655" spans="6:7" x14ac:dyDescent="0.2">
      <c r="F1655" s="421">
        <v>29505</v>
      </c>
      <c r="G1655" s="421" t="s">
        <v>2206</v>
      </c>
    </row>
    <row r="1656" spans="6:7" x14ac:dyDescent="0.2">
      <c r="F1656" s="421">
        <v>29506</v>
      </c>
      <c r="G1656" s="421" t="s">
        <v>2207</v>
      </c>
    </row>
    <row r="1657" spans="6:7" x14ac:dyDescent="0.2">
      <c r="F1657" s="421">
        <v>29508</v>
      </c>
      <c r="G1657" s="421" t="s">
        <v>2208</v>
      </c>
    </row>
    <row r="1658" spans="6:7" x14ac:dyDescent="0.2">
      <c r="F1658" s="421">
        <v>29509</v>
      </c>
      <c r="G1658" s="421" t="s">
        <v>2209</v>
      </c>
    </row>
    <row r="1659" spans="6:7" x14ac:dyDescent="0.2">
      <c r="F1659" s="421">
        <v>29511</v>
      </c>
      <c r="G1659" s="421" t="s">
        <v>2210</v>
      </c>
    </row>
    <row r="1660" spans="6:7" x14ac:dyDescent="0.2">
      <c r="F1660" s="421">
        <v>29513</v>
      </c>
      <c r="G1660" s="421" t="s">
        <v>2211</v>
      </c>
    </row>
    <row r="1661" spans="6:7" x14ac:dyDescent="0.2">
      <c r="F1661" s="421">
        <v>29514</v>
      </c>
      <c r="G1661" s="421" t="s">
        <v>2212</v>
      </c>
    </row>
    <row r="1662" spans="6:7" x14ac:dyDescent="0.2">
      <c r="F1662" s="421">
        <v>29515</v>
      </c>
      <c r="G1662" s="421" t="s">
        <v>2213</v>
      </c>
    </row>
    <row r="1663" spans="6:7" x14ac:dyDescent="0.2">
      <c r="F1663" s="421">
        <v>29519</v>
      </c>
      <c r="G1663" s="421" t="s">
        <v>2214</v>
      </c>
    </row>
    <row r="1664" spans="6:7" x14ac:dyDescent="0.2">
      <c r="F1664" s="421">
        <v>29520</v>
      </c>
      <c r="G1664" s="421" t="s">
        <v>2215</v>
      </c>
    </row>
    <row r="1665" spans="6:7" x14ac:dyDescent="0.2">
      <c r="F1665" s="421">
        <v>29523</v>
      </c>
      <c r="G1665" s="421" t="s">
        <v>2216</v>
      </c>
    </row>
    <row r="1666" spans="6:7" x14ac:dyDescent="0.2">
      <c r="F1666" s="421">
        <v>29524</v>
      </c>
      <c r="G1666" s="421" t="s">
        <v>3314</v>
      </c>
    </row>
    <row r="1667" spans="6:7" x14ac:dyDescent="0.2">
      <c r="F1667" s="421">
        <v>29525</v>
      </c>
      <c r="G1667" s="421" t="s">
        <v>2217</v>
      </c>
    </row>
    <row r="1668" spans="6:7" x14ac:dyDescent="0.2">
      <c r="F1668" s="421">
        <v>29530</v>
      </c>
      <c r="G1668" s="421" t="s">
        <v>2218</v>
      </c>
    </row>
    <row r="1669" spans="6:7" x14ac:dyDescent="0.2">
      <c r="F1669" s="421">
        <v>29531</v>
      </c>
      <c r="G1669" s="421" t="s">
        <v>2219</v>
      </c>
    </row>
    <row r="1670" spans="6:7" x14ac:dyDescent="0.2">
      <c r="F1670" s="421">
        <v>29533</v>
      </c>
      <c r="G1670" s="421" t="s">
        <v>2220</v>
      </c>
    </row>
    <row r="1671" spans="6:7" x14ac:dyDescent="0.2">
      <c r="F1671" s="421">
        <v>29539</v>
      </c>
      <c r="G1671" s="421" t="s">
        <v>2221</v>
      </c>
    </row>
    <row r="1672" spans="6:7" x14ac:dyDescent="0.2">
      <c r="F1672" s="421">
        <v>29541</v>
      </c>
      <c r="G1672" s="421" t="s">
        <v>2222</v>
      </c>
    </row>
    <row r="1673" spans="6:7" x14ac:dyDescent="0.2">
      <c r="F1673" s="421">
        <v>29545</v>
      </c>
      <c r="G1673" s="421" t="s">
        <v>2223</v>
      </c>
    </row>
    <row r="1674" spans="6:7" x14ac:dyDescent="0.2">
      <c r="F1674" s="421">
        <v>29546</v>
      </c>
      <c r="G1674" s="421" t="s">
        <v>2224</v>
      </c>
    </row>
    <row r="1675" spans="6:7" x14ac:dyDescent="0.2">
      <c r="F1675" s="421">
        <v>29547</v>
      </c>
      <c r="G1675" s="421" t="s">
        <v>2225</v>
      </c>
    </row>
    <row r="1676" spans="6:7" x14ac:dyDescent="0.2">
      <c r="F1676" s="421">
        <v>29549</v>
      </c>
      <c r="G1676" s="421" t="s">
        <v>2226</v>
      </c>
    </row>
    <row r="1677" spans="6:7" x14ac:dyDescent="0.2">
      <c r="F1677" s="421">
        <v>29552</v>
      </c>
      <c r="G1677" s="421" t="s">
        <v>2227</v>
      </c>
    </row>
    <row r="1678" spans="6:7" x14ac:dyDescent="0.2">
      <c r="F1678" s="421">
        <v>29553</v>
      </c>
      <c r="G1678" s="421" t="s">
        <v>2228</v>
      </c>
    </row>
    <row r="1679" spans="6:7" x14ac:dyDescent="0.2">
      <c r="F1679" s="421">
        <v>29556</v>
      </c>
      <c r="G1679" s="421" t="s">
        <v>2229</v>
      </c>
    </row>
    <row r="1680" spans="6:7" x14ac:dyDescent="0.2">
      <c r="F1680" s="421">
        <v>29557</v>
      </c>
      <c r="G1680" s="421" t="s">
        <v>2230</v>
      </c>
    </row>
    <row r="1681" spans="6:7" x14ac:dyDescent="0.2">
      <c r="F1681" s="421">
        <v>29558</v>
      </c>
      <c r="G1681" s="421" t="s">
        <v>2231</v>
      </c>
    </row>
    <row r="1682" spans="6:7" x14ac:dyDescent="0.2">
      <c r="F1682" s="421">
        <v>29563</v>
      </c>
      <c r="G1682" s="421" t="s">
        <v>2232</v>
      </c>
    </row>
    <row r="1683" spans="6:7" x14ac:dyDescent="0.2">
      <c r="F1683" s="421">
        <v>29565</v>
      </c>
      <c r="G1683" s="421" t="s">
        <v>2233</v>
      </c>
    </row>
    <row r="1684" spans="6:7" x14ac:dyDescent="0.2">
      <c r="F1684" s="421">
        <v>29566</v>
      </c>
      <c r="G1684" s="421" t="s">
        <v>3315</v>
      </c>
    </row>
    <row r="1685" spans="6:7" x14ac:dyDescent="0.2">
      <c r="F1685" s="421">
        <v>29567</v>
      </c>
      <c r="G1685" s="421" t="s">
        <v>2234</v>
      </c>
    </row>
    <row r="1686" spans="6:7" x14ac:dyDescent="0.2">
      <c r="F1686" s="421">
        <v>29568</v>
      </c>
      <c r="G1686" s="421" t="s">
        <v>2235</v>
      </c>
    </row>
    <row r="1687" spans="6:7" x14ac:dyDescent="0.2">
      <c r="F1687" s="421">
        <v>29570</v>
      </c>
      <c r="G1687" s="421" t="s">
        <v>2236</v>
      </c>
    </row>
    <row r="1688" spans="6:7" x14ac:dyDescent="0.2">
      <c r="F1688" s="421">
        <v>29571</v>
      </c>
      <c r="G1688" s="421" t="s">
        <v>2237</v>
      </c>
    </row>
    <row r="1689" spans="6:7" x14ac:dyDescent="0.2">
      <c r="F1689" s="421">
        <v>29572</v>
      </c>
      <c r="G1689" s="421" t="s">
        <v>2238</v>
      </c>
    </row>
    <row r="1690" spans="6:7" x14ac:dyDescent="0.2">
      <c r="F1690" s="421">
        <v>29576</v>
      </c>
      <c r="G1690" s="421" t="s">
        <v>2239</v>
      </c>
    </row>
    <row r="1691" spans="6:7" x14ac:dyDescent="0.2">
      <c r="F1691" s="421">
        <v>29580</v>
      </c>
      <c r="G1691" s="421" t="s">
        <v>2240</v>
      </c>
    </row>
    <row r="1692" spans="6:7" x14ac:dyDescent="0.2">
      <c r="F1692" s="421">
        <v>29581</v>
      </c>
      <c r="G1692" s="421" t="s">
        <v>2241</v>
      </c>
    </row>
    <row r="1693" spans="6:7" x14ac:dyDescent="0.2">
      <c r="F1693" s="421">
        <v>29582</v>
      </c>
      <c r="G1693" s="421" t="s">
        <v>2242</v>
      </c>
    </row>
    <row r="1694" spans="6:7" x14ac:dyDescent="0.2">
      <c r="F1694" s="421">
        <v>29583</v>
      </c>
      <c r="G1694" s="421" t="s">
        <v>2243</v>
      </c>
    </row>
    <row r="1695" spans="6:7" x14ac:dyDescent="0.2">
      <c r="F1695" s="421">
        <v>29585</v>
      </c>
      <c r="G1695" s="421" t="s">
        <v>2244</v>
      </c>
    </row>
    <row r="1696" spans="6:7" x14ac:dyDescent="0.2">
      <c r="F1696" s="421">
        <v>29589</v>
      </c>
      <c r="G1696" s="421" t="s">
        <v>2245</v>
      </c>
    </row>
    <row r="1697" spans="6:7" x14ac:dyDescent="0.2">
      <c r="F1697" s="421">
        <v>29591</v>
      </c>
      <c r="G1697" s="421" t="s">
        <v>2246</v>
      </c>
    </row>
    <row r="1698" spans="6:7" x14ac:dyDescent="0.2">
      <c r="F1698" s="421">
        <v>29592</v>
      </c>
      <c r="G1698" s="421" t="s">
        <v>2247</v>
      </c>
    </row>
    <row r="1699" spans="6:7" x14ac:dyDescent="0.2">
      <c r="F1699" s="421">
        <v>29593</v>
      </c>
      <c r="G1699" s="421" t="s">
        <v>2248</v>
      </c>
    </row>
    <row r="1700" spans="6:7" x14ac:dyDescent="0.2">
      <c r="F1700" s="421">
        <v>29594</v>
      </c>
      <c r="G1700" s="421" t="s">
        <v>2249</v>
      </c>
    </row>
    <row r="1701" spans="6:7" x14ac:dyDescent="0.2">
      <c r="F1701" s="421">
        <v>29595</v>
      </c>
      <c r="G1701" s="421" t="s">
        <v>2250</v>
      </c>
    </row>
    <row r="1702" spans="6:7" x14ac:dyDescent="0.2">
      <c r="F1702" s="421">
        <v>29598</v>
      </c>
      <c r="G1702" s="421" t="s">
        <v>2251</v>
      </c>
    </row>
    <row r="1703" spans="6:7" x14ac:dyDescent="0.2">
      <c r="F1703" s="421">
        <v>29600</v>
      </c>
      <c r="G1703" s="421" t="s">
        <v>2252</v>
      </c>
    </row>
    <row r="1704" spans="6:7" x14ac:dyDescent="0.2">
      <c r="F1704" s="421">
        <v>29601</v>
      </c>
      <c r="G1704" s="421" t="s">
        <v>2253</v>
      </c>
    </row>
    <row r="1705" spans="6:7" x14ac:dyDescent="0.2">
      <c r="F1705" s="421">
        <v>29603</v>
      </c>
      <c r="G1705" s="421" t="s">
        <v>2254</v>
      </c>
    </row>
    <row r="1706" spans="6:7" x14ac:dyDescent="0.2">
      <c r="F1706" s="421">
        <v>29605</v>
      </c>
      <c r="G1706" s="421" t="s">
        <v>2255</v>
      </c>
    </row>
    <row r="1707" spans="6:7" x14ac:dyDescent="0.2">
      <c r="F1707" s="421">
        <v>29611</v>
      </c>
      <c r="G1707" s="421" t="s">
        <v>2256</v>
      </c>
    </row>
    <row r="1708" spans="6:7" x14ac:dyDescent="0.2">
      <c r="F1708" s="421">
        <v>29618</v>
      </c>
      <c r="G1708" s="421" t="s">
        <v>2257</v>
      </c>
    </row>
    <row r="1709" spans="6:7" x14ac:dyDescent="0.2">
      <c r="F1709" s="421">
        <v>29622</v>
      </c>
      <c r="G1709" s="421" t="s">
        <v>2258</v>
      </c>
    </row>
    <row r="1710" spans="6:7" x14ac:dyDescent="0.2">
      <c r="F1710" s="421">
        <v>29627</v>
      </c>
      <c r="G1710" s="421" t="s">
        <v>2259</v>
      </c>
    </row>
    <row r="1711" spans="6:7" x14ac:dyDescent="0.2">
      <c r="F1711" s="421">
        <v>29638</v>
      </c>
      <c r="G1711" s="421" t="s">
        <v>2260</v>
      </c>
    </row>
    <row r="1712" spans="6:7" x14ac:dyDescent="0.2">
      <c r="F1712" s="421">
        <v>29643</v>
      </c>
      <c r="G1712" s="421" t="s">
        <v>2261</v>
      </c>
    </row>
    <row r="1713" spans="6:7" x14ac:dyDescent="0.2">
      <c r="F1713" s="421">
        <v>29647</v>
      </c>
      <c r="G1713" s="421" t="s">
        <v>2262</v>
      </c>
    </row>
    <row r="1714" spans="6:7" x14ac:dyDescent="0.2">
      <c r="F1714" s="421">
        <v>29649</v>
      </c>
      <c r="G1714" s="421" t="s">
        <v>2263</v>
      </c>
    </row>
    <row r="1715" spans="6:7" x14ac:dyDescent="0.2">
      <c r="F1715" s="421">
        <v>29662</v>
      </c>
      <c r="G1715" s="421" t="s">
        <v>2264</v>
      </c>
    </row>
    <row r="1716" spans="6:7" x14ac:dyDescent="0.2">
      <c r="F1716" s="421">
        <v>29665</v>
      </c>
      <c r="G1716" s="421" t="s">
        <v>2265</v>
      </c>
    </row>
    <row r="1717" spans="6:7" x14ac:dyDescent="0.2">
      <c r="F1717" s="421">
        <v>29670</v>
      </c>
      <c r="G1717" s="421" t="s">
        <v>2266</v>
      </c>
    </row>
    <row r="1718" spans="6:7" x14ac:dyDescent="0.2">
      <c r="F1718" s="421">
        <v>29691</v>
      </c>
      <c r="G1718" s="421" t="s">
        <v>2267</v>
      </c>
    </row>
    <row r="1719" spans="6:7" x14ac:dyDescent="0.2">
      <c r="F1719" s="421">
        <v>29692</v>
      </c>
      <c r="G1719" s="421" t="s">
        <v>2268</v>
      </c>
    </row>
    <row r="1720" spans="6:7" x14ac:dyDescent="0.2">
      <c r="F1720" s="421">
        <v>29703</v>
      </c>
      <c r="G1720" s="421" t="s">
        <v>2749</v>
      </c>
    </row>
    <row r="1721" spans="6:7" x14ac:dyDescent="0.2">
      <c r="F1721" s="421">
        <v>29704</v>
      </c>
      <c r="G1721" s="421" t="s">
        <v>2269</v>
      </c>
    </row>
    <row r="1722" spans="6:7" x14ac:dyDescent="0.2">
      <c r="F1722" s="421">
        <v>29716</v>
      </c>
      <c r="G1722" s="421" t="s">
        <v>2270</v>
      </c>
    </row>
    <row r="1723" spans="6:7" x14ac:dyDescent="0.2">
      <c r="F1723" s="421">
        <v>29719</v>
      </c>
      <c r="G1723" s="421" t="s">
        <v>2271</v>
      </c>
    </row>
    <row r="1724" spans="6:7" x14ac:dyDescent="0.2">
      <c r="F1724" s="421">
        <v>29731</v>
      </c>
      <c r="G1724" s="421" t="s">
        <v>2272</v>
      </c>
    </row>
    <row r="1725" spans="6:7" x14ac:dyDescent="0.2">
      <c r="F1725" s="421">
        <v>29736</v>
      </c>
      <c r="G1725" s="421" t="s">
        <v>2273</v>
      </c>
    </row>
    <row r="1726" spans="6:7" x14ac:dyDescent="0.2">
      <c r="F1726" s="421">
        <v>29741</v>
      </c>
      <c r="G1726" s="421" t="s">
        <v>2274</v>
      </c>
    </row>
    <row r="1727" spans="6:7" x14ac:dyDescent="0.2">
      <c r="F1727" s="421">
        <v>29755</v>
      </c>
      <c r="G1727" s="421" t="s">
        <v>2275</v>
      </c>
    </row>
    <row r="1728" spans="6:7" x14ac:dyDescent="0.2">
      <c r="F1728" s="421">
        <v>29762</v>
      </c>
      <c r="G1728" s="421" t="s">
        <v>2276</v>
      </c>
    </row>
    <row r="1729" spans="6:7" x14ac:dyDescent="0.2">
      <c r="F1729" s="421">
        <v>29763</v>
      </c>
      <c r="G1729" s="421" t="s">
        <v>2277</v>
      </c>
    </row>
    <row r="1730" spans="6:7" x14ac:dyDescent="0.2">
      <c r="F1730" s="421">
        <v>29765</v>
      </c>
      <c r="G1730" s="421" t="s">
        <v>2278</v>
      </c>
    </row>
    <row r="1731" spans="6:7" x14ac:dyDescent="0.2">
      <c r="F1731" s="421">
        <v>29768</v>
      </c>
      <c r="G1731" s="421" t="s">
        <v>2279</v>
      </c>
    </row>
    <row r="1732" spans="6:7" x14ac:dyDescent="0.2">
      <c r="F1732" s="421">
        <v>29772</v>
      </c>
      <c r="G1732" s="421" t="s">
        <v>2750</v>
      </c>
    </row>
    <row r="1733" spans="6:7" x14ac:dyDescent="0.2">
      <c r="F1733" s="421">
        <v>29773</v>
      </c>
      <c r="G1733" s="421" t="s">
        <v>2280</v>
      </c>
    </row>
    <row r="1734" spans="6:7" x14ac:dyDescent="0.2">
      <c r="F1734" s="421">
        <v>29791</v>
      </c>
      <c r="G1734" s="421" t="s">
        <v>2281</v>
      </c>
    </row>
    <row r="1735" spans="6:7" x14ac:dyDescent="0.2">
      <c r="F1735" s="421">
        <v>29805</v>
      </c>
      <c r="G1735" s="421" t="s">
        <v>2282</v>
      </c>
    </row>
    <row r="1736" spans="6:7" x14ac:dyDescent="0.2">
      <c r="F1736" s="421">
        <v>29843</v>
      </c>
      <c r="G1736" s="421" t="s">
        <v>2283</v>
      </c>
    </row>
    <row r="1737" spans="6:7" x14ac:dyDescent="0.2">
      <c r="F1737" s="421">
        <v>29853</v>
      </c>
      <c r="G1737" s="421" t="s">
        <v>2284</v>
      </c>
    </row>
    <row r="1738" spans="6:7" x14ac:dyDescent="0.2">
      <c r="F1738" s="421">
        <v>29887</v>
      </c>
      <c r="G1738" s="421" t="s">
        <v>2285</v>
      </c>
    </row>
    <row r="1739" spans="6:7" x14ac:dyDescent="0.2">
      <c r="F1739" s="421">
        <v>29897</v>
      </c>
      <c r="G1739" s="421" t="s">
        <v>2286</v>
      </c>
    </row>
    <row r="1740" spans="6:7" x14ac:dyDescent="0.2">
      <c r="F1740" s="421">
        <v>29906</v>
      </c>
      <c r="G1740" s="421" t="s">
        <v>2287</v>
      </c>
    </row>
    <row r="1741" spans="6:7" x14ac:dyDescent="0.2">
      <c r="F1741" s="421">
        <v>29908</v>
      </c>
      <c r="G1741" s="421" t="s">
        <v>2288</v>
      </c>
    </row>
    <row r="1742" spans="6:7" x14ac:dyDescent="0.2">
      <c r="F1742" s="421">
        <v>29914</v>
      </c>
      <c r="G1742" s="421" t="s">
        <v>2289</v>
      </c>
    </row>
    <row r="1743" spans="6:7" x14ac:dyDescent="0.2">
      <c r="F1743" s="421">
        <v>29926</v>
      </c>
      <c r="G1743" s="421" t="s">
        <v>2290</v>
      </c>
    </row>
    <row r="1744" spans="6:7" x14ac:dyDescent="0.2">
      <c r="F1744" s="421">
        <v>29941</v>
      </c>
      <c r="G1744" s="421" t="s">
        <v>3316</v>
      </c>
    </row>
    <row r="1745" spans="6:7" x14ac:dyDescent="0.2">
      <c r="F1745" s="421">
        <v>29945</v>
      </c>
      <c r="G1745" s="421" t="s">
        <v>3317</v>
      </c>
    </row>
    <row r="1746" spans="6:7" x14ac:dyDescent="0.2">
      <c r="F1746" s="421">
        <v>29949</v>
      </c>
      <c r="G1746" s="421" t="s">
        <v>2751</v>
      </c>
    </row>
    <row r="1747" spans="6:7" x14ac:dyDescent="0.2">
      <c r="F1747" s="421">
        <v>29961</v>
      </c>
      <c r="G1747" s="421" t="s">
        <v>2291</v>
      </c>
    </row>
    <row r="1748" spans="6:7" x14ac:dyDescent="0.2">
      <c r="F1748" s="421">
        <v>29973</v>
      </c>
      <c r="G1748" s="421" t="s">
        <v>3318</v>
      </c>
    </row>
    <row r="1749" spans="6:7" x14ac:dyDescent="0.2">
      <c r="F1749" s="421">
        <v>29986</v>
      </c>
      <c r="G1749" s="421" t="s">
        <v>3319</v>
      </c>
    </row>
    <row r="1750" spans="6:7" x14ac:dyDescent="0.2">
      <c r="F1750" s="421">
        <v>29996</v>
      </c>
      <c r="G1750" s="421" t="s">
        <v>2292</v>
      </c>
    </row>
    <row r="1751" spans="6:7" x14ac:dyDescent="0.2">
      <c r="F1751" s="421">
        <v>30000</v>
      </c>
      <c r="G1751" s="421" t="s">
        <v>2293</v>
      </c>
    </row>
    <row r="1752" spans="6:7" x14ac:dyDescent="0.2">
      <c r="F1752" s="421">
        <v>30002</v>
      </c>
      <c r="G1752" s="421" t="s">
        <v>2294</v>
      </c>
    </row>
    <row r="1753" spans="6:7" x14ac:dyDescent="0.2">
      <c r="F1753" s="421">
        <v>30004</v>
      </c>
      <c r="G1753" s="421" t="s">
        <v>2295</v>
      </c>
    </row>
    <row r="1754" spans="6:7" x14ac:dyDescent="0.2">
      <c r="F1754" s="421">
        <v>30007</v>
      </c>
      <c r="G1754" s="421" t="s">
        <v>2296</v>
      </c>
    </row>
    <row r="1755" spans="6:7" x14ac:dyDescent="0.2">
      <c r="F1755" s="421">
        <v>30010</v>
      </c>
      <c r="G1755" s="421" t="s">
        <v>2297</v>
      </c>
    </row>
    <row r="1756" spans="6:7" x14ac:dyDescent="0.2">
      <c r="F1756" s="421">
        <v>30012</v>
      </c>
      <c r="G1756" s="421" t="s">
        <v>2298</v>
      </c>
    </row>
    <row r="1757" spans="6:7" x14ac:dyDescent="0.2">
      <c r="F1757" s="421">
        <v>30013</v>
      </c>
      <c r="G1757" s="421" t="s">
        <v>2299</v>
      </c>
    </row>
    <row r="1758" spans="6:7" x14ac:dyDescent="0.2">
      <c r="F1758" s="421">
        <v>30016</v>
      </c>
      <c r="G1758" s="421" t="s">
        <v>2300</v>
      </c>
    </row>
    <row r="1759" spans="6:7" x14ac:dyDescent="0.2">
      <c r="F1759" s="421">
        <v>30021</v>
      </c>
      <c r="G1759" s="421" t="s">
        <v>2301</v>
      </c>
    </row>
    <row r="1760" spans="6:7" x14ac:dyDescent="0.2">
      <c r="F1760" s="421">
        <v>30027</v>
      </c>
      <c r="G1760" s="421" t="s">
        <v>2302</v>
      </c>
    </row>
    <row r="1761" spans="6:7" x14ac:dyDescent="0.2">
      <c r="F1761" s="421">
        <v>30031</v>
      </c>
      <c r="G1761" s="421" t="s">
        <v>2303</v>
      </c>
    </row>
    <row r="1762" spans="6:7" x14ac:dyDescent="0.2">
      <c r="F1762" s="421">
        <v>30035</v>
      </c>
      <c r="G1762" s="421" t="s">
        <v>2304</v>
      </c>
    </row>
    <row r="1763" spans="6:7" x14ac:dyDescent="0.2">
      <c r="F1763" s="421">
        <v>30039</v>
      </c>
      <c r="G1763" s="421" t="s">
        <v>2305</v>
      </c>
    </row>
    <row r="1764" spans="6:7" x14ac:dyDescent="0.2">
      <c r="F1764" s="421">
        <v>30041</v>
      </c>
      <c r="G1764" s="421" t="s">
        <v>2306</v>
      </c>
    </row>
    <row r="1765" spans="6:7" x14ac:dyDescent="0.2">
      <c r="F1765" s="421">
        <v>30043</v>
      </c>
      <c r="G1765" s="421" t="s">
        <v>2307</v>
      </c>
    </row>
    <row r="1766" spans="6:7" x14ac:dyDescent="0.2">
      <c r="F1766" s="421">
        <v>30045</v>
      </c>
      <c r="G1766" s="421" t="s">
        <v>2308</v>
      </c>
    </row>
    <row r="1767" spans="6:7" x14ac:dyDescent="0.2">
      <c r="F1767" s="421">
        <v>30046</v>
      </c>
      <c r="G1767" s="421" t="s">
        <v>2752</v>
      </c>
    </row>
    <row r="1768" spans="6:7" x14ac:dyDescent="0.2">
      <c r="F1768" s="421">
        <v>30048</v>
      </c>
      <c r="G1768" s="421" t="s">
        <v>2309</v>
      </c>
    </row>
    <row r="1769" spans="6:7" x14ac:dyDescent="0.2">
      <c r="F1769" s="421">
        <v>30052</v>
      </c>
      <c r="G1769" s="421" t="s">
        <v>2310</v>
      </c>
    </row>
    <row r="1770" spans="6:7" x14ac:dyDescent="0.2">
      <c r="F1770" s="421">
        <v>30056</v>
      </c>
      <c r="G1770" s="421" t="s">
        <v>2311</v>
      </c>
    </row>
    <row r="1771" spans="6:7" x14ac:dyDescent="0.2">
      <c r="F1771" s="421">
        <v>30065</v>
      </c>
      <c r="G1771" s="421" t="s">
        <v>2312</v>
      </c>
    </row>
    <row r="1772" spans="6:7" x14ac:dyDescent="0.2">
      <c r="F1772" s="421">
        <v>30071</v>
      </c>
      <c r="G1772" s="421" t="s">
        <v>2313</v>
      </c>
    </row>
    <row r="1773" spans="6:7" x14ac:dyDescent="0.2">
      <c r="F1773" s="421">
        <v>30073</v>
      </c>
      <c r="G1773" s="421" t="s">
        <v>2314</v>
      </c>
    </row>
    <row r="1774" spans="6:7" x14ac:dyDescent="0.2">
      <c r="F1774" s="421">
        <v>30078</v>
      </c>
      <c r="G1774" s="421" t="s">
        <v>2315</v>
      </c>
    </row>
    <row r="1775" spans="6:7" x14ac:dyDescent="0.2">
      <c r="F1775" s="421">
        <v>30152</v>
      </c>
      <c r="G1775" s="421" t="s">
        <v>2316</v>
      </c>
    </row>
    <row r="1776" spans="6:7" x14ac:dyDescent="0.2">
      <c r="F1776" s="421">
        <v>30169</v>
      </c>
      <c r="G1776" s="421" t="s">
        <v>2317</v>
      </c>
    </row>
    <row r="1777" spans="6:7" x14ac:dyDescent="0.2">
      <c r="F1777" s="421">
        <v>30174</v>
      </c>
      <c r="G1777" s="421" t="s">
        <v>2318</v>
      </c>
    </row>
    <row r="1778" spans="6:7" x14ac:dyDescent="0.2">
      <c r="F1778" s="421">
        <v>30176</v>
      </c>
      <c r="G1778" s="421" t="s">
        <v>2319</v>
      </c>
    </row>
    <row r="1779" spans="6:7" x14ac:dyDescent="0.2">
      <c r="F1779" s="421">
        <v>30177</v>
      </c>
      <c r="G1779" s="421" t="s">
        <v>2320</v>
      </c>
    </row>
    <row r="1780" spans="6:7" x14ac:dyDescent="0.2">
      <c r="F1780" s="421">
        <v>30189</v>
      </c>
      <c r="G1780" s="421" t="s">
        <v>2321</v>
      </c>
    </row>
    <row r="1781" spans="6:7" x14ac:dyDescent="0.2">
      <c r="F1781" s="421">
        <v>30195</v>
      </c>
      <c r="G1781" s="421" t="s">
        <v>2322</v>
      </c>
    </row>
    <row r="1782" spans="6:7" x14ac:dyDescent="0.2">
      <c r="F1782" s="421">
        <v>30197</v>
      </c>
      <c r="G1782" s="421" t="s">
        <v>2323</v>
      </c>
    </row>
    <row r="1783" spans="6:7" x14ac:dyDescent="0.2">
      <c r="F1783" s="421">
        <v>30232</v>
      </c>
      <c r="G1783" s="421" t="s">
        <v>2324</v>
      </c>
    </row>
    <row r="1784" spans="6:7" x14ac:dyDescent="0.2">
      <c r="F1784" s="421">
        <v>30279</v>
      </c>
      <c r="G1784" s="421" t="s">
        <v>2325</v>
      </c>
    </row>
    <row r="1785" spans="6:7" x14ac:dyDescent="0.2">
      <c r="F1785" s="421">
        <v>30318</v>
      </c>
      <c r="G1785" s="421" t="s">
        <v>2326</v>
      </c>
    </row>
    <row r="1786" spans="6:7" x14ac:dyDescent="0.2">
      <c r="F1786" s="421">
        <v>30324</v>
      </c>
      <c r="G1786" s="421" t="s">
        <v>2753</v>
      </c>
    </row>
    <row r="1787" spans="6:7" x14ac:dyDescent="0.2">
      <c r="F1787" s="421">
        <v>31180</v>
      </c>
      <c r="G1787" s="421" t="s">
        <v>3320</v>
      </c>
    </row>
    <row r="1788" spans="6:7" x14ac:dyDescent="0.2">
      <c r="F1788" s="421">
        <v>32054</v>
      </c>
      <c r="G1788" s="421" t="s">
        <v>2327</v>
      </c>
    </row>
    <row r="1789" spans="6:7" x14ac:dyDescent="0.2">
      <c r="F1789" s="421">
        <v>32085</v>
      </c>
      <c r="G1789" s="421" t="s">
        <v>2754</v>
      </c>
    </row>
    <row r="1790" spans="6:7" x14ac:dyDescent="0.2">
      <c r="F1790" s="421">
        <v>32869</v>
      </c>
      <c r="G1790" s="421" t="s">
        <v>2755</v>
      </c>
    </row>
    <row r="1791" spans="6:7" x14ac:dyDescent="0.2">
      <c r="F1791" s="421">
        <v>32885</v>
      </c>
      <c r="G1791" s="421" t="s">
        <v>3073</v>
      </c>
    </row>
    <row r="1792" spans="6:7" x14ac:dyDescent="0.2">
      <c r="F1792" s="421">
        <v>32984</v>
      </c>
      <c r="G1792" s="421" t="s">
        <v>2756</v>
      </c>
    </row>
    <row r="1793" spans="6:7" x14ac:dyDescent="0.2">
      <c r="F1793" s="421">
        <v>33176</v>
      </c>
      <c r="G1793" s="421" t="s">
        <v>2757</v>
      </c>
    </row>
    <row r="1794" spans="6:7" x14ac:dyDescent="0.2">
      <c r="F1794" s="421">
        <v>33662</v>
      </c>
      <c r="G1794" s="421" t="s">
        <v>2758</v>
      </c>
    </row>
    <row r="1795" spans="6:7" x14ac:dyDescent="0.2">
      <c r="F1795" s="421">
        <v>33936</v>
      </c>
      <c r="G1795" s="421" t="s">
        <v>2759</v>
      </c>
    </row>
    <row r="1796" spans="6:7" x14ac:dyDescent="0.2">
      <c r="F1796" s="421">
        <v>34108</v>
      </c>
      <c r="G1796" s="421" t="s">
        <v>2760</v>
      </c>
    </row>
    <row r="1797" spans="6:7" x14ac:dyDescent="0.2">
      <c r="F1797" s="421">
        <v>34360</v>
      </c>
      <c r="G1797" s="421" t="s">
        <v>2761</v>
      </c>
    </row>
    <row r="1798" spans="6:7" x14ac:dyDescent="0.2">
      <c r="F1798" s="421">
        <v>34382</v>
      </c>
      <c r="G1798" s="421" t="s">
        <v>2762</v>
      </c>
    </row>
    <row r="1799" spans="6:7" x14ac:dyDescent="0.2">
      <c r="F1799" s="421">
        <v>34441</v>
      </c>
      <c r="G1799" s="421" t="s">
        <v>2763</v>
      </c>
    </row>
    <row r="1800" spans="6:7" x14ac:dyDescent="0.2">
      <c r="F1800" s="421">
        <v>34455</v>
      </c>
      <c r="G1800" s="421" t="s">
        <v>2764</v>
      </c>
    </row>
    <row r="1801" spans="6:7" x14ac:dyDescent="0.2">
      <c r="F1801" s="421">
        <v>34490</v>
      </c>
      <c r="G1801" s="421" t="s">
        <v>2765</v>
      </c>
    </row>
    <row r="1802" spans="6:7" x14ac:dyDescent="0.2">
      <c r="F1802" s="421">
        <v>34638</v>
      </c>
      <c r="G1802" s="421" t="s">
        <v>2766</v>
      </c>
    </row>
    <row r="1803" spans="6:7" x14ac:dyDescent="0.2">
      <c r="F1803" s="421">
        <v>34672</v>
      </c>
      <c r="G1803" s="421" t="s">
        <v>2767</v>
      </c>
    </row>
    <row r="1804" spans="6:7" x14ac:dyDescent="0.2">
      <c r="F1804" s="421">
        <v>34679</v>
      </c>
      <c r="G1804" s="421" t="s">
        <v>2768</v>
      </c>
    </row>
    <row r="1805" spans="6:7" x14ac:dyDescent="0.2">
      <c r="F1805" s="421">
        <v>34751</v>
      </c>
      <c r="G1805" s="421" t="s">
        <v>2769</v>
      </c>
    </row>
    <row r="1806" spans="6:7" x14ac:dyDescent="0.2">
      <c r="F1806" s="421">
        <v>34814</v>
      </c>
      <c r="G1806" s="421" t="s">
        <v>2770</v>
      </c>
    </row>
    <row r="1807" spans="6:7" x14ac:dyDescent="0.2">
      <c r="F1807" s="421">
        <v>34819</v>
      </c>
      <c r="G1807" s="421" t="s">
        <v>2771</v>
      </c>
    </row>
    <row r="1808" spans="6:7" x14ac:dyDescent="0.2">
      <c r="F1808" s="421">
        <v>34851</v>
      </c>
      <c r="G1808" s="421" t="s">
        <v>2772</v>
      </c>
    </row>
    <row r="1809" spans="6:7" x14ac:dyDescent="0.2">
      <c r="F1809" s="421">
        <v>34861</v>
      </c>
      <c r="G1809" s="421" t="s">
        <v>2773</v>
      </c>
    </row>
    <row r="1810" spans="6:7" x14ac:dyDescent="0.2">
      <c r="F1810" s="421">
        <v>34869</v>
      </c>
      <c r="G1810" s="421" t="s">
        <v>2774</v>
      </c>
    </row>
    <row r="1811" spans="6:7" x14ac:dyDescent="0.2">
      <c r="F1811" s="421">
        <v>34874</v>
      </c>
      <c r="G1811" s="421" t="s">
        <v>2775</v>
      </c>
    </row>
    <row r="1812" spans="6:7" x14ac:dyDescent="0.2">
      <c r="F1812" s="421">
        <v>35222</v>
      </c>
      <c r="G1812" s="421" t="s">
        <v>2776</v>
      </c>
    </row>
    <row r="1813" spans="6:7" x14ac:dyDescent="0.2">
      <c r="F1813" s="421">
        <v>35345</v>
      </c>
      <c r="G1813" s="421" t="s">
        <v>2777</v>
      </c>
    </row>
    <row r="1814" spans="6:7" x14ac:dyDescent="0.2">
      <c r="F1814" s="421">
        <v>35396</v>
      </c>
      <c r="G1814" s="421" t="s">
        <v>3074</v>
      </c>
    </row>
    <row r="1815" spans="6:7" x14ac:dyDescent="0.2">
      <c r="F1815" s="421">
        <v>35474</v>
      </c>
      <c r="G1815" s="421" t="s">
        <v>2778</v>
      </c>
    </row>
    <row r="1816" spans="6:7" x14ac:dyDescent="0.2">
      <c r="F1816" s="421">
        <v>35489</v>
      </c>
      <c r="G1816" s="421" t="s">
        <v>2779</v>
      </c>
    </row>
    <row r="1817" spans="6:7" x14ac:dyDescent="0.2">
      <c r="F1817" s="421">
        <v>35793</v>
      </c>
      <c r="G1817" s="421" t="s">
        <v>2780</v>
      </c>
    </row>
    <row r="1818" spans="6:7" x14ac:dyDescent="0.2">
      <c r="F1818" s="421">
        <v>36120</v>
      </c>
      <c r="G1818" s="421" t="s">
        <v>2781</v>
      </c>
    </row>
    <row r="1819" spans="6:7" x14ac:dyDescent="0.2">
      <c r="F1819" s="421">
        <v>36162</v>
      </c>
      <c r="G1819" s="421" t="s">
        <v>2782</v>
      </c>
    </row>
    <row r="1820" spans="6:7" x14ac:dyDescent="0.2">
      <c r="F1820" s="421">
        <v>36235</v>
      </c>
      <c r="G1820" s="421" t="s">
        <v>2783</v>
      </c>
    </row>
    <row r="1821" spans="6:7" x14ac:dyDescent="0.2">
      <c r="F1821" s="421">
        <v>36247</v>
      </c>
      <c r="G1821" s="421" t="s">
        <v>2784</v>
      </c>
    </row>
    <row r="1822" spans="6:7" x14ac:dyDescent="0.2">
      <c r="F1822" s="421">
        <v>36252</v>
      </c>
      <c r="G1822" s="421" t="s">
        <v>2785</v>
      </c>
    </row>
    <row r="1823" spans="6:7" x14ac:dyDescent="0.2">
      <c r="F1823" s="421">
        <v>36267</v>
      </c>
      <c r="G1823" s="421" t="s">
        <v>2786</v>
      </c>
    </row>
    <row r="1824" spans="6:7" x14ac:dyDescent="0.2">
      <c r="F1824" s="421">
        <v>36302</v>
      </c>
      <c r="G1824" s="421" t="s">
        <v>2787</v>
      </c>
    </row>
    <row r="1825" spans="6:7" x14ac:dyDescent="0.2">
      <c r="F1825" s="421">
        <v>37011</v>
      </c>
      <c r="G1825" s="421" t="s">
        <v>2788</v>
      </c>
    </row>
    <row r="1826" spans="6:7" x14ac:dyDescent="0.2">
      <c r="F1826" s="421">
        <v>37076</v>
      </c>
      <c r="G1826" s="421" t="s">
        <v>2789</v>
      </c>
    </row>
    <row r="1827" spans="6:7" x14ac:dyDescent="0.2">
      <c r="F1827" s="421">
        <v>37081</v>
      </c>
      <c r="G1827" s="421" t="s">
        <v>2790</v>
      </c>
    </row>
    <row r="1828" spans="6:7" x14ac:dyDescent="0.2">
      <c r="F1828" s="421">
        <v>37305</v>
      </c>
      <c r="G1828" s="421" t="s">
        <v>2791</v>
      </c>
    </row>
    <row r="1829" spans="6:7" x14ac:dyDescent="0.2">
      <c r="F1829" s="421">
        <v>37429</v>
      </c>
      <c r="G1829" s="421" t="s">
        <v>2792</v>
      </c>
    </row>
    <row r="1830" spans="6:7" x14ac:dyDescent="0.2">
      <c r="F1830" s="421">
        <v>37570</v>
      </c>
      <c r="G1830" s="421" t="s">
        <v>2793</v>
      </c>
    </row>
    <row r="1831" spans="6:7" x14ac:dyDescent="0.2">
      <c r="F1831" s="421">
        <v>38158</v>
      </c>
      <c r="G1831" s="421" t="s">
        <v>2794</v>
      </c>
    </row>
    <row r="1832" spans="6:7" x14ac:dyDescent="0.2">
      <c r="F1832" s="421">
        <v>38194</v>
      </c>
      <c r="G1832" s="421" t="s">
        <v>2795</v>
      </c>
    </row>
    <row r="1833" spans="6:7" x14ac:dyDescent="0.2">
      <c r="F1833" s="421">
        <v>38196</v>
      </c>
      <c r="G1833" s="421" t="s">
        <v>2796</v>
      </c>
    </row>
    <row r="1834" spans="6:7" x14ac:dyDescent="0.2">
      <c r="F1834" s="421">
        <v>38233</v>
      </c>
      <c r="G1834" s="421" t="s">
        <v>2797</v>
      </c>
    </row>
    <row r="1835" spans="6:7" x14ac:dyDescent="0.2">
      <c r="F1835" s="421">
        <v>38285</v>
      </c>
      <c r="G1835" s="421" t="s">
        <v>2798</v>
      </c>
    </row>
    <row r="1836" spans="6:7" x14ac:dyDescent="0.2">
      <c r="F1836" s="421">
        <v>38362</v>
      </c>
      <c r="G1836" s="421" t="s">
        <v>3075</v>
      </c>
    </row>
    <row r="1837" spans="6:7" x14ac:dyDescent="0.2">
      <c r="F1837" s="421">
        <v>38704</v>
      </c>
      <c r="G1837" s="421" t="s">
        <v>2799</v>
      </c>
    </row>
    <row r="1838" spans="6:7" x14ac:dyDescent="0.2">
      <c r="F1838" s="421">
        <v>38755</v>
      </c>
      <c r="G1838" s="421" t="s">
        <v>2800</v>
      </c>
    </row>
    <row r="1839" spans="6:7" x14ac:dyDescent="0.2">
      <c r="F1839" s="421">
        <v>38992</v>
      </c>
      <c r="G1839" s="421" t="s">
        <v>3076</v>
      </c>
    </row>
    <row r="1840" spans="6:7" x14ac:dyDescent="0.2">
      <c r="F1840" s="421">
        <v>39264</v>
      </c>
      <c r="G1840" s="421" t="s">
        <v>2801</v>
      </c>
    </row>
    <row r="1841" spans="6:7" x14ac:dyDescent="0.2">
      <c r="F1841" s="421">
        <v>39290</v>
      </c>
      <c r="G1841" s="421" t="s">
        <v>2802</v>
      </c>
    </row>
    <row r="1842" spans="6:7" x14ac:dyDescent="0.2">
      <c r="F1842" s="421">
        <v>39381</v>
      </c>
      <c r="G1842" s="421" t="s">
        <v>3077</v>
      </c>
    </row>
    <row r="1843" spans="6:7" x14ac:dyDescent="0.2">
      <c r="F1843" s="421">
        <v>39382</v>
      </c>
      <c r="G1843" s="421" t="s">
        <v>2803</v>
      </c>
    </row>
    <row r="1844" spans="6:7" x14ac:dyDescent="0.2">
      <c r="F1844" s="421">
        <v>39422</v>
      </c>
      <c r="G1844" s="421" t="s">
        <v>2804</v>
      </c>
    </row>
    <row r="1845" spans="6:7" x14ac:dyDescent="0.2">
      <c r="F1845" s="421">
        <v>39551</v>
      </c>
      <c r="G1845" s="421" t="s">
        <v>3072</v>
      </c>
    </row>
    <row r="1846" spans="6:7" x14ac:dyDescent="0.2">
      <c r="F1846" s="421">
        <v>39924</v>
      </c>
      <c r="G1846" s="421" t="s">
        <v>2888</v>
      </c>
    </row>
    <row r="1847" spans="6:7" x14ac:dyDescent="0.2">
      <c r="F1847" s="421">
        <v>40228</v>
      </c>
      <c r="G1847" s="421" t="s">
        <v>3078</v>
      </c>
    </row>
    <row r="1848" spans="6:7" x14ac:dyDescent="0.2">
      <c r="F1848" s="421">
        <v>42044</v>
      </c>
      <c r="G1848" s="421" t="s">
        <v>1080</v>
      </c>
    </row>
    <row r="1849" spans="6:7" x14ac:dyDescent="0.2">
      <c r="F1849" s="421">
        <v>42391</v>
      </c>
      <c r="G1849" s="421" t="s">
        <v>3079</v>
      </c>
    </row>
    <row r="1850" spans="6:7" x14ac:dyDescent="0.2">
      <c r="F1850" s="421">
        <v>43740</v>
      </c>
      <c r="G1850" s="421" t="s">
        <v>3321</v>
      </c>
    </row>
    <row r="1851" spans="6:7" x14ac:dyDescent="0.2">
      <c r="F1851" s="421">
        <v>43888</v>
      </c>
      <c r="G1851" s="421" t="s">
        <v>3322</v>
      </c>
    </row>
    <row r="1852" spans="6:7" x14ac:dyDescent="0.2">
      <c r="F1852" s="421">
        <v>43965</v>
      </c>
      <c r="G1852" s="421" t="s">
        <v>3323</v>
      </c>
    </row>
    <row r="1853" spans="6:7" x14ac:dyDescent="0.2">
      <c r="F1853" s="421">
        <v>44156</v>
      </c>
      <c r="G1853" s="421" t="s">
        <v>3324</v>
      </c>
    </row>
    <row r="1854" spans="6:7" x14ac:dyDescent="0.2">
      <c r="F1854" s="421">
        <v>1961</v>
      </c>
      <c r="G1854" s="421" t="s">
        <v>2856</v>
      </c>
    </row>
    <row r="1855" spans="6:7" x14ac:dyDescent="0.2">
      <c r="F1855" s="421">
        <v>5720</v>
      </c>
      <c r="G1855" s="421" t="s">
        <v>2857</v>
      </c>
    </row>
    <row r="1856" spans="6:7" x14ac:dyDescent="0.2">
      <c r="F1856" s="421">
        <v>9281</v>
      </c>
      <c r="G1856" s="421" t="s">
        <v>2858</v>
      </c>
    </row>
    <row r="1857" spans="6:7" x14ac:dyDescent="0.2">
      <c r="F1857" s="421">
        <v>13524</v>
      </c>
      <c r="G1857" s="421" t="s">
        <v>2859</v>
      </c>
    </row>
    <row r="1858" spans="6:7" x14ac:dyDescent="0.2">
      <c r="F1858" s="421">
        <v>13613</v>
      </c>
      <c r="G1858" s="421" t="s">
        <v>2860</v>
      </c>
    </row>
    <row r="1859" spans="6:7" x14ac:dyDescent="0.2">
      <c r="F1859" s="421">
        <v>13731</v>
      </c>
      <c r="G1859" s="421" t="s">
        <v>2861</v>
      </c>
    </row>
    <row r="1860" spans="6:7" x14ac:dyDescent="0.2">
      <c r="F1860" s="421">
        <v>13807</v>
      </c>
      <c r="G1860" s="421" t="s">
        <v>2862</v>
      </c>
    </row>
    <row r="1861" spans="6:7" x14ac:dyDescent="0.2">
      <c r="F1861" s="421">
        <v>13837</v>
      </c>
      <c r="G1861" s="421" t="s">
        <v>2863</v>
      </c>
    </row>
    <row r="1862" spans="6:7" x14ac:dyDescent="0.2">
      <c r="F1862" s="421">
        <v>13873</v>
      </c>
      <c r="G1862" s="421" t="s">
        <v>2864</v>
      </c>
    </row>
    <row r="1863" spans="6:7" x14ac:dyDescent="0.2">
      <c r="F1863" s="421">
        <v>13893</v>
      </c>
      <c r="G1863" s="421" t="s">
        <v>2662</v>
      </c>
    </row>
    <row r="1864" spans="6:7" x14ac:dyDescent="0.2">
      <c r="F1864" s="421">
        <v>14044</v>
      </c>
      <c r="G1864" s="421" t="s">
        <v>2865</v>
      </c>
    </row>
    <row r="1865" spans="6:7" x14ac:dyDescent="0.2">
      <c r="F1865" s="421">
        <v>14083</v>
      </c>
      <c r="G1865" s="421" t="s">
        <v>2866</v>
      </c>
    </row>
    <row r="1866" spans="6:7" x14ac:dyDescent="0.2">
      <c r="F1866" s="421">
        <v>14138</v>
      </c>
      <c r="G1866" s="421" t="s">
        <v>2867</v>
      </c>
    </row>
    <row r="1867" spans="6:7" x14ac:dyDescent="0.2">
      <c r="F1867" s="421">
        <v>14237</v>
      </c>
      <c r="G1867" s="421" t="s">
        <v>2868</v>
      </c>
    </row>
    <row r="1868" spans="6:7" x14ac:dyDescent="0.2">
      <c r="F1868" s="421">
        <v>15005</v>
      </c>
      <c r="G1868" s="421" t="s">
        <v>2869</v>
      </c>
    </row>
    <row r="1869" spans="6:7" x14ac:dyDescent="0.2">
      <c r="F1869" s="421">
        <v>15328</v>
      </c>
      <c r="G1869" s="421" t="s">
        <v>2870</v>
      </c>
    </row>
    <row r="1870" spans="6:7" x14ac:dyDescent="0.2">
      <c r="F1870" s="421">
        <v>19563</v>
      </c>
      <c r="G1870" s="421" t="s">
        <v>2871</v>
      </c>
    </row>
    <row r="1871" spans="6:7" x14ac:dyDescent="0.2">
      <c r="F1871" s="421">
        <v>21495</v>
      </c>
      <c r="G1871" s="421" t="s">
        <v>2872</v>
      </c>
    </row>
    <row r="1872" spans="6:7" x14ac:dyDescent="0.2">
      <c r="F1872" s="421">
        <v>21726</v>
      </c>
      <c r="G1872" s="421" t="s">
        <v>2873</v>
      </c>
    </row>
    <row r="1873" spans="6:7" x14ac:dyDescent="0.2">
      <c r="F1873" s="421">
        <v>24060</v>
      </c>
      <c r="G1873" s="421" t="s">
        <v>2874</v>
      </c>
    </row>
    <row r="1874" spans="6:7" x14ac:dyDescent="0.2">
      <c r="F1874" s="421">
        <v>25881</v>
      </c>
      <c r="G1874" s="421" t="s">
        <v>2875</v>
      </c>
    </row>
    <row r="1875" spans="6:7" x14ac:dyDescent="0.2">
      <c r="F1875" s="421">
        <v>26631</v>
      </c>
      <c r="G1875" s="421" t="s">
        <v>2877</v>
      </c>
    </row>
    <row r="1876" spans="6:7" x14ac:dyDescent="0.2">
      <c r="F1876" s="421">
        <v>27183</v>
      </c>
      <c r="G1876" s="421" t="s">
        <v>2878</v>
      </c>
    </row>
    <row r="1877" spans="6:7" x14ac:dyDescent="0.2">
      <c r="F1877" s="421">
        <v>33240</v>
      </c>
      <c r="G1877" s="421" t="s">
        <v>2880</v>
      </c>
    </row>
    <row r="1878" spans="6:7" x14ac:dyDescent="0.2">
      <c r="F1878" s="421">
        <v>21358</v>
      </c>
      <c r="G1878" s="421" t="s">
        <v>1064</v>
      </c>
    </row>
    <row r="1879" spans="6:7" x14ac:dyDescent="0.2">
      <c r="F1879" s="421">
        <v>13976</v>
      </c>
      <c r="G1879" s="421" t="s">
        <v>3325</v>
      </c>
    </row>
    <row r="1880" spans="6:7" x14ac:dyDescent="0.2">
      <c r="F1880" s="421">
        <v>14240</v>
      </c>
      <c r="G1880" s="421" t="s">
        <v>3326</v>
      </c>
    </row>
    <row r="1881" spans="6:7" x14ac:dyDescent="0.2">
      <c r="F1881" s="421">
        <v>16977</v>
      </c>
      <c r="G1881" s="421" t="s">
        <v>3327</v>
      </c>
    </row>
    <row r="1882" spans="6:7" x14ac:dyDescent="0.2">
      <c r="F1882" s="421">
        <v>43766</v>
      </c>
      <c r="G1882" s="421" t="s">
        <v>3328</v>
      </c>
    </row>
  </sheetData>
  <autoFilter ref="F2:G2" xr:uid="{00000000-0001-0000-0600-000000000000}"/>
  <sortState xmlns:xlrd2="http://schemas.microsoft.com/office/spreadsheetml/2017/richdata2" ref="F3:G1838">
    <sortCondition ref="F3:F1838"/>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006fdf-e617-4dc8-9237-7f24c96f69d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D5F6E2B1AFD324F9FF0864B9EC8680C" ma:contentTypeVersion="14" ma:contentTypeDescription="Creare un nuovo documento." ma:contentTypeScope="" ma:versionID="dd77a6dd32c8ea9a51761f3d0d5c797d">
  <xsd:schema xmlns:xsd="http://www.w3.org/2001/XMLSchema" xmlns:xs="http://www.w3.org/2001/XMLSchema" xmlns:p="http://schemas.microsoft.com/office/2006/metadata/properties" xmlns:ns2="b9006fdf-e617-4dc8-9237-7f24c96f69d6" xmlns:ns3="aee051c8-a468-4d25-929a-33095c924ecb" targetNamespace="http://schemas.microsoft.com/office/2006/metadata/properties" ma:root="true" ma:fieldsID="0e6089f9eede862d61b064ae22efb93e" ns2:_="" ns3:_="">
    <xsd:import namespace="b9006fdf-e617-4dc8-9237-7f24c96f69d6"/>
    <xsd:import namespace="aee051c8-a468-4d25-929a-33095c924ec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006fdf-e617-4dc8-9237-7f24c96f69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a80affac-8c33-4d97-bb50-84f6a7cdd8b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e051c8-a468-4d25-929a-33095c924ecb" elementFormDefault="qualified">
    <xsd:import namespace="http://schemas.microsoft.com/office/2006/documentManagement/types"/>
    <xsd:import namespace="http://schemas.microsoft.com/office/infopath/2007/PartnerControls"/>
    <xsd:element name="SharedWithUsers" ma:index="1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1E87E7-F540-4157-B9AF-A2EEB04FD090}">
  <ds:schemaRefs>
    <ds:schemaRef ds:uri="http://schemas.microsoft.com/sharepoint/v3/contenttype/forms"/>
  </ds:schemaRefs>
</ds:datastoreItem>
</file>

<file path=customXml/itemProps2.xml><?xml version="1.0" encoding="utf-8"?>
<ds:datastoreItem xmlns:ds="http://schemas.openxmlformats.org/officeDocument/2006/customXml" ds:itemID="{DCFDB1C6-1A65-45BF-9BF8-4F2482214D21}">
  <ds:schemaRefs>
    <ds:schemaRef ds:uri="edc8021c-4014-4e4d-a91e-776457cd770e"/>
    <ds:schemaRef ds:uri="http://schemas.microsoft.com/office/2006/documentManagement/types"/>
    <ds:schemaRef ds:uri="http://schemas.openxmlformats.org/package/2006/metadata/core-properties"/>
    <ds:schemaRef ds:uri="7de87d2a-5b43-42a7-b4c3-d1be0d62272b"/>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 ds:uri="b9006fdf-e617-4dc8-9237-7f24c96f69d6"/>
  </ds:schemaRefs>
</ds:datastoreItem>
</file>

<file path=customXml/itemProps3.xml><?xml version="1.0" encoding="utf-8"?>
<ds:datastoreItem xmlns:ds="http://schemas.openxmlformats.org/officeDocument/2006/customXml" ds:itemID="{2F52DF64-A773-4C9B-ABC2-706329AF8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006fdf-e617-4dc8-9237-7f24c96f69d6"/>
    <ds:schemaRef ds:uri="aee051c8-a468-4d25-929a-33095c924e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Menu</vt:lpstr>
      <vt:lpstr>QT-Acquedotto</vt:lpstr>
      <vt:lpstr>QT-Fognatura</vt:lpstr>
      <vt:lpstr>QT-Depurazione</vt:lpstr>
      <vt:lpstr>QT-Altri dati</vt:lpstr>
      <vt:lpstr>QT-Resilienza</vt:lpstr>
      <vt:lpstr>Riepilogo RQTI</vt:lpstr>
      <vt:lpstr>TT_Gestori-ATO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2020-02-26T09:44:15Z</dcterms:created>
  <dcterms:modified xsi:type="dcterms:W3CDTF">2026-02-17T12:21:22Z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0x0101008D5F6E2B1AFD324F9FF0864B9EC8680C</vt:lpwstr>
  </property>
  <property fmtid="{D5CDD505-2E9C-101B-9397-08002B2CF9AE}" pid="3" name="MediaServiceImageTags">
    <vt:lpwstr/>
  </property>
</Properties>
</file>